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updateLinks="always" codeName="ThisWorkbook"/>
  <xr:revisionPtr revIDLastSave="0" documentId="13_ncr:1_{34F25C43-B178-4F8F-B367-A2BB67599C45}" xr6:coauthVersionLast="47" xr6:coauthVersionMax="47" xr10:uidLastSave="{00000000-0000-0000-0000-000000000000}"/>
  <bookViews>
    <workbookView xWindow="30" yWindow="-16320" windowWidth="29040" windowHeight="15720" xr2:uid="{00000000-000D-0000-FFFF-FFFF00000000}"/>
  </bookViews>
  <sheets>
    <sheet name="申請前確認書 " sheetId="12" r:id="rId1"/>
    <sheet name="申請書" sheetId="7" r:id="rId2"/>
    <sheet name="追加設置場所" sheetId="9" r:id="rId3"/>
    <sheet name="株主名簿" sheetId="24" r:id="rId4"/>
    <sheet name="機械設備計画" sheetId="2" r:id="rId5"/>
    <sheet name="資金計画" sheetId="3" r:id="rId6"/>
    <sheet name="収支計画" sheetId="18" r:id="rId7"/>
    <sheet name="収支計画表１_区分Ⅰ(A1,B1、W1)用" sheetId="23" r:id="rId8"/>
    <sheet name="収支計画表２_区分ⅠⅡⅢⅣV用" sheetId="21" r:id="rId9"/>
    <sheet name="企業分類" sheetId="28" state="hidden" r:id="rId10"/>
    <sheet name="助成金申請上限" sheetId="27" state="hidden" r:id="rId11"/>
    <sheet name="使用不可公社専用" sheetId="10" state="hidden" r:id="rId12"/>
    <sheet name="入力規則(改変禁止)" sheetId="11" state="hidden" r:id="rId13"/>
  </sheets>
  <definedNames>
    <definedName name="_xlnm._FilterDatabase" localSheetId="9" hidden="1">企業分類!$B$5:$H$116</definedName>
    <definedName name="_xlnm._FilterDatabase" localSheetId="5" hidden="1">資金計画!$B$18:$AN$26</definedName>
    <definedName name="_xlnm.Print_Area" localSheetId="3">株主名簿!$A$1:$Q$34</definedName>
    <definedName name="_xlnm.Print_Area" localSheetId="4">機械設備計画!$A$1:$AP$37</definedName>
    <definedName name="_xlnm.Print_Area" localSheetId="5">資金計画!$A$1:$U$55</definedName>
    <definedName name="_xlnm.Print_Area" localSheetId="6">収支計画!$B$1:$K$41</definedName>
    <definedName name="_xlnm.Print_Area" localSheetId="7">'収支計画表１_区分Ⅰ(A1,B1、W1)用'!$A$1:$O$29</definedName>
    <definedName name="_xlnm.Print_Area" localSheetId="8">収支計画表２_区分ⅠⅡⅢⅣV用!$A$1:$N$38</definedName>
    <definedName name="_xlnm.Print_Area" localSheetId="10">助成金申請上限!$B$1:$AF$31</definedName>
    <definedName name="_xlnm.Print_Area" localSheetId="1">申請書!$B$1:$AB$185</definedName>
    <definedName name="_xlnm.Print_Area" localSheetId="0">'申請前確認書 '!$A$1:$AA$38</definedName>
    <definedName name="_xlnm.Print_Area" localSheetId="2">追加設置場所!$A$2:$AA$151</definedName>
    <definedName name="_xlnm.Print_Titles" localSheetId="4">機械設備計画!$1:$1</definedName>
    <definedName name="_xlnm.Print_Titles" localSheetId="5">資金計画!$1:$1</definedName>
    <definedName name="_xlnm.Print_Titles" localSheetId="6">収支計画!$1:$1</definedName>
    <definedName name="_xlnm.Print_Titles" localSheetId="7">'収支計画表１_区分Ⅰ(A1,B1、W1)用'!$1:$1</definedName>
    <definedName name="_xlnm.Print_Titles" localSheetId="8">収支計画表２_区分ⅠⅡⅢⅣV用!$1:$1</definedName>
    <definedName name="_xlnm.Print_Titles" localSheetId="10">助成金申請上限!#REF!</definedName>
    <definedName name="_xlnm.Print_Titles" localSheetId="1">申請書!$1:$1</definedName>
    <definedName name="申請者区分" localSheetId="5">資金計画!$U$12:$U$15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E3" i="2" l="1"/>
  <c r="AG1" i="2"/>
  <c r="AB2" i="2" l="1"/>
  <c r="AD17" i="3" l="1"/>
  <c r="AC6" i="2" l="1"/>
  <c r="BF13" i="2"/>
  <c r="BF12" i="2"/>
  <c r="BF11" i="2"/>
  <c r="BF10" i="2"/>
  <c r="BF9" i="2"/>
  <c r="BE16" i="2"/>
  <c r="BE7" i="2" s="1"/>
  <c r="BE11" i="2" l="1"/>
  <c r="BE12" i="2"/>
  <c r="BE13" i="2"/>
  <c r="BE9" i="2"/>
  <c r="BE8" i="2"/>
  <c r="BF8" i="2" s="1"/>
  <c r="BE10" i="2"/>
  <c r="BE6" i="2"/>
  <c r="BF6" i="2" s="1"/>
  <c r="L33" i="2"/>
  <c r="C33" i="2"/>
  <c r="C32" i="2"/>
  <c r="C31" i="2"/>
  <c r="C30" i="2"/>
  <c r="C29" i="2"/>
  <c r="C28" i="2"/>
  <c r="C27" i="2"/>
  <c r="C26" i="2"/>
  <c r="BA13" i="2"/>
  <c r="AZ13" i="2"/>
  <c r="AW13" i="2"/>
  <c r="BC13" i="2" s="1"/>
  <c r="AV13" i="2"/>
  <c r="BB13" i="2" s="1"/>
  <c r="AU13" i="2"/>
  <c r="AT13" i="2"/>
  <c r="AC13" i="2"/>
  <c r="AW12" i="2"/>
  <c r="BC12" i="2" s="1"/>
  <c r="AV12" i="2"/>
  <c r="BB12" i="2" s="1"/>
  <c r="AU12" i="2"/>
  <c r="BA12" i="2" s="1"/>
  <c r="AT12" i="2"/>
  <c r="AZ12" i="2" s="1"/>
  <c r="AC12" i="2"/>
  <c r="L32" i="2" s="1"/>
  <c r="AW11" i="2"/>
  <c r="BC11" i="2" s="1"/>
  <c r="AV11" i="2"/>
  <c r="BB11" i="2" s="1"/>
  <c r="AU11" i="2"/>
  <c r="BA11" i="2" s="1"/>
  <c r="AT11" i="2"/>
  <c r="AZ11" i="2" s="1"/>
  <c r="AC11" i="2"/>
  <c r="L31" i="2" s="1"/>
  <c r="AW10" i="2"/>
  <c r="AV10" i="2"/>
  <c r="BB10" i="2" s="1"/>
  <c r="AU10" i="2"/>
  <c r="BA10" i="2" s="1"/>
  <c r="AT10" i="2"/>
  <c r="AZ10" i="2" s="1"/>
  <c r="AC10" i="2"/>
  <c r="L30" i="2" s="1"/>
  <c r="AW9" i="2"/>
  <c r="BC9" i="2" s="1"/>
  <c r="AV9" i="2"/>
  <c r="BB9" i="2" s="1"/>
  <c r="AU9" i="2"/>
  <c r="BA9" i="2" s="1"/>
  <c r="AT9" i="2"/>
  <c r="AZ9" i="2" s="1"/>
  <c r="AC9" i="2"/>
  <c r="L29" i="2" s="1"/>
  <c r="AW8" i="2"/>
  <c r="BC8" i="2" s="1"/>
  <c r="AV8" i="2"/>
  <c r="BB8" i="2" s="1"/>
  <c r="AU8" i="2"/>
  <c r="BA8" i="2" s="1"/>
  <c r="AT8" i="2"/>
  <c r="AZ8" i="2" s="1"/>
  <c r="AC8" i="2"/>
  <c r="L28" i="2" s="1"/>
  <c r="AW7" i="2"/>
  <c r="BC7" i="2" s="1"/>
  <c r="AV7" i="2"/>
  <c r="BB7" i="2" s="1"/>
  <c r="AU7" i="2"/>
  <c r="BA7" i="2" s="1"/>
  <c r="AT7" i="2"/>
  <c r="AZ7" i="2" s="1"/>
  <c r="AC7" i="2"/>
  <c r="L27" i="2" s="1"/>
  <c r="AW6" i="2"/>
  <c r="BC6" i="2" s="1"/>
  <c r="AV6" i="2"/>
  <c r="AU6" i="2"/>
  <c r="BA6" i="2" s="1"/>
  <c r="AT6" i="2"/>
  <c r="AZ6" i="2" s="1"/>
  <c r="L26" i="2"/>
  <c r="BF7" i="2" l="1"/>
  <c r="AV14" i="2"/>
  <c r="P16" i="2" s="1"/>
  <c r="AW14" i="2"/>
  <c r="P17" i="2" s="1"/>
  <c r="AZ14" i="2"/>
  <c r="BA14" i="2"/>
  <c r="AT14" i="2"/>
  <c r="P14" i="2" s="1"/>
  <c r="BB6" i="2"/>
  <c r="BB14" i="2" s="1"/>
  <c r="AU14" i="2"/>
  <c r="P15" i="2" s="1"/>
  <c r="BC10" i="2"/>
  <c r="BC14" i="2" s="1"/>
  <c r="AV18" i="2" l="1"/>
  <c r="AC17" i="2"/>
  <c r="AC16" i="2"/>
  <c r="AC14" i="2"/>
  <c r="E3" i="28"/>
  <c r="H2" i="28"/>
  <c r="F2" i="28"/>
  <c r="E2" i="28"/>
  <c r="B3" i="28"/>
  <c r="B2" i="28" l="1"/>
  <c r="N5" i="21" l="1"/>
  <c r="M5" i="21"/>
  <c r="L5" i="21"/>
  <c r="K5" i="21"/>
  <c r="J5" i="21"/>
  <c r="I5" i="21"/>
  <c r="H5" i="21"/>
  <c r="G5" i="21"/>
  <c r="F5" i="21"/>
  <c r="D5" i="21"/>
  <c r="H5" i="23"/>
  <c r="N5" i="23"/>
  <c r="M5" i="23"/>
  <c r="L5" i="23"/>
  <c r="K5" i="23"/>
  <c r="J5" i="23"/>
  <c r="I5" i="23"/>
  <c r="G5" i="23"/>
  <c r="F5" i="23"/>
  <c r="D5" i="23"/>
  <c r="AA17" i="3"/>
  <c r="BC20" i="2" l="1"/>
  <c r="BB20" i="2"/>
  <c r="AC17" i="3"/>
  <c r="N4" i="10"/>
  <c r="K4" i="10"/>
  <c r="J4" i="10"/>
  <c r="L4" i="10"/>
  <c r="DN4" i="10"/>
  <c r="BC18" i="2" l="1"/>
  <c r="BB18" i="2"/>
  <c r="Q2" i="23"/>
  <c r="L3" i="23" s="1"/>
  <c r="BF16" i="2" l="1"/>
  <c r="AG17" i="2" s="1"/>
  <c r="AB17" i="3"/>
  <c r="B58" i="7"/>
  <c r="N41" i="7"/>
  <c r="O41" i="7" s="1"/>
  <c r="B57" i="7"/>
  <c r="AG16" i="2" l="1"/>
  <c r="M20" i="3" s="1"/>
  <c r="AD20" i="3" s="1"/>
  <c r="BC19" i="2"/>
  <c r="BB19" i="2"/>
  <c r="Q2" i="21"/>
  <c r="AD7" i="27" l="1"/>
  <c r="AD8" i="27"/>
  <c r="AD9" i="27"/>
  <c r="AD10" i="27"/>
  <c r="AD11" i="27"/>
  <c r="AD12" i="27"/>
  <c r="AD13" i="27"/>
  <c r="AD14" i="27"/>
  <c r="AD15" i="27"/>
  <c r="AD16" i="27"/>
  <c r="AD17" i="27"/>
  <c r="AD20" i="27"/>
  <c r="AD21" i="27"/>
  <c r="AD22" i="27"/>
  <c r="AD23" i="27"/>
  <c r="AD24" i="27"/>
  <c r="AD25" i="27"/>
  <c r="AD26" i="27"/>
  <c r="B6" i="27" l="1"/>
  <c r="B7" i="27" l="1"/>
  <c r="B8" i="27"/>
  <c r="B9" i="27"/>
  <c r="B10" i="27"/>
  <c r="B11" i="27"/>
  <c r="B12" i="27"/>
  <c r="B13" i="27"/>
  <c r="B14" i="27"/>
  <c r="B15" i="27"/>
  <c r="B16" i="27"/>
  <c r="B17" i="27"/>
  <c r="B20" i="27"/>
  <c r="B21" i="27"/>
  <c r="B22" i="27"/>
  <c r="B23" i="27"/>
  <c r="B24" i="27"/>
  <c r="B25" i="27"/>
  <c r="B26" i="27"/>
  <c r="K3" i="27" l="1"/>
  <c r="J3" i="27"/>
  <c r="AD6" i="27"/>
  <c r="AA29" i="27"/>
  <c r="B29" i="27" s="1"/>
  <c r="AA28" i="27"/>
  <c r="B28" i="27"/>
  <c r="AA27" i="27"/>
  <c r="B27" i="27" s="1"/>
  <c r="N18" i="27"/>
  <c r="AA50" i="7" l="1"/>
  <c r="B50" i="7" s="1"/>
  <c r="L3" i="21" l="1"/>
  <c r="M4" i="3" l="1"/>
  <c r="P5" i="3" l="1"/>
  <c r="I23" i="24" l="1"/>
  <c r="M4" i="24" s="1"/>
  <c r="M11" i="24" l="1"/>
  <c r="M22" i="24"/>
  <c r="M6" i="24"/>
  <c r="M10" i="24"/>
  <c r="M9" i="24"/>
  <c r="M14" i="24"/>
  <c r="M21" i="24"/>
  <c r="M13" i="24"/>
  <c r="M20" i="24"/>
  <c r="M12" i="24"/>
  <c r="M19" i="24"/>
  <c r="M18" i="24"/>
  <c r="M17" i="24"/>
  <c r="M16" i="24"/>
  <c r="M8" i="24"/>
  <c r="M3" i="24"/>
  <c r="M15" i="24"/>
  <c r="M7" i="24"/>
  <c r="M5" i="24"/>
  <c r="M23" i="24" l="1"/>
  <c r="N185" i="7"/>
  <c r="AW4" i="10"/>
  <c r="AX4" i="10"/>
  <c r="AY4" i="10"/>
  <c r="EE4" i="10" s="1"/>
  <c r="EC4" i="10" l="1"/>
  <c r="E24" i="23"/>
  <c r="E25" i="23"/>
  <c r="N21" i="23"/>
  <c r="M21" i="23"/>
  <c r="L21" i="23"/>
  <c r="K21" i="23"/>
  <c r="J21" i="23"/>
  <c r="I21" i="23"/>
  <c r="H21" i="23"/>
  <c r="G21" i="23"/>
  <c r="F21" i="23"/>
  <c r="E21" i="23"/>
  <c r="D12" i="23"/>
  <c r="E10" i="23" s="1"/>
  <c r="E12" i="23" s="1"/>
  <c r="F10" i="23" s="1"/>
  <c r="F12" i="23" s="1"/>
  <c r="G10" i="23" s="1"/>
  <c r="G12" i="23" s="1"/>
  <c r="H10" i="23" s="1"/>
  <c r="H12" i="23" s="1"/>
  <c r="I10" i="23" s="1"/>
  <c r="I12" i="23" s="1"/>
  <c r="J10" i="23" s="1"/>
  <c r="J12" i="23" s="1"/>
  <c r="K10" i="23" s="1"/>
  <c r="K12" i="23" s="1"/>
  <c r="L10" i="23" s="1"/>
  <c r="L12" i="23" s="1"/>
  <c r="M10" i="23" s="1"/>
  <c r="M12" i="23" s="1"/>
  <c r="N10" i="23" s="1"/>
  <c r="N12" i="23" s="1"/>
  <c r="F6" i="23"/>
  <c r="G6" i="23" s="1"/>
  <c r="H6" i="23" s="1"/>
  <c r="I6" i="23" s="1"/>
  <c r="J6" i="23" s="1"/>
  <c r="K6" i="23" s="1"/>
  <c r="L6" i="23" s="1"/>
  <c r="M6" i="23" s="1"/>
  <c r="N6" i="23" s="1"/>
  <c r="D6" i="23"/>
  <c r="D3" i="23"/>
  <c r="E33" i="21"/>
  <c r="E34" i="21"/>
  <c r="N30" i="21"/>
  <c r="M30" i="21"/>
  <c r="L30" i="21"/>
  <c r="K30" i="21"/>
  <c r="J30" i="21"/>
  <c r="I30" i="21"/>
  <c r="H30" i="21"/>
  <c r="G30" i="21"/>
  <c r="F30" i="21"/>
  <c r="E30" i="21"/>
  <c r="F26" i="21"/>
  <c r="E26" i="21"/>
  <c r="D26" i="21"/>
  <c r="N21" i="21"/>
  <c r="N23" i="21" s="1"/>
  <c r="M21" i="21"/>
  <c r="M23" i="21" s="1"/>
  <c r="L21" i="21"/>
  <c r="L23" i="21" s="1"/>
  <c r="K21" i="21"/>
  <c r="K23" i="21" s="1"/>
  <c r="J21" i="21"/>
  <c r="J23" i="21" s="1"/>
  <c r="I21" i="21"/>
  <c r="I23" i="21" s="1"/>
  <c r="H21" i="21"/>
  <c r="H23" i="21" s="1"/>
  <c r="G21" i="21"/>
  <c r="G23" i="21" s="1"/>
  <c r="F21" i="21"/>
  <c r="F23" i="21" s="1"/>
  <c r="E21" i="21"/>
  <c r="E23" i="21" s="1"/>
  <c r="D21" i="21"/>
  <c r="D23" i="21" s="1"/>
  <c r="D12" i="21"/>
  <c r="E10" i="21" s="1"/>
  <c r="E12" i="21" s="1"/>
  <c r="F10" i="21" s="1"/>
  <c r="F12" i="21" s="1"/>
  <c r="G10" i="21" s="1"/>
  <c r="G12" i="21" s="1"/>
  <c r="H10" i="21" s="1"/>
  <c r="H12" i="21" s="1"/>
  <c r="I10" i="21" s="1"/>
  <c r="I12" i="21" s="1"/>
  <c r="J10" i="21" s="1"/>
  <c r="J12" i="21" s="1"/>
  <c r="K10" i="21" s="1"/>
  <c r="K12" i="21" s="1"/>
  <c r="L10" i="21" s="1"/>
  <c r="L12" i="21" s="1"/>
  <c r="M10" i="21" s="1"/>
  <c r="M12" i="21" s="1"/>
  <c r="N10" i="21" s="1"/>
  <c r="N12" i="21" s="1"/>
  <c r="F6" i="21"/>
  <c r="G6" i="21" s="1"/>
  <c r="H6" i="21" s="1"/>
  <c r="I6" i="21" s="1"/>
  <c r="J6" i="21" s="1"/>
  <c r="K6" i="21" s="1"/>
  <c r="L6" i="21" s="1"/>
  <c r="M6" i="21" s="1"/>
  <c r="N6" i="21" s="1"/>
  <c r="D6" i="21"/>
  <c r="D3" i="21"/>
  <c r="D27" i="21" l="1"/>
  <c r="BA4" i="10"/>
  <c r="E27" i="21"/>
  <c r="BB4" i="10"/>
  <c r="F27" i="21"/>
  <c r="BC4" i="10"/>
  <c r="BD4" i="10" l="1"/>
  <c r="Q9" i="12" l="1"/>
  <c r="Q7" i="12"/>
  <c r="B194" i="7" l="1"/>
  <c r="AC194" i="7"/>
  <c r="P64" i="7" s="1"/>
  <c r="O62" i="7"/>
  <c r="Q103" i="7" l="1"/>
  <c r="DU4" i="10" l="1"/>
  <c r="F4" i="10" l="1"/>
  <c r="U103" i="7"/>
  <c r="Q104" i="7" l="1"/>
  <c r="Y95" i="7"/>
  <c r="X61" i="7" s="1"/>
  <c r="X104" i="7" l="1"/>
  <c r="AO4" i="10"/>
  <c r="FJ4" i="10" l="1"/>
  <c r="FI4" i="10"/>
  <c r="FH4" i="10"/>
  <c r="FF4" i="10"/>
  <c r="FE4" i="10"/>
  <c r="FD4" i="10"/>
  <c r="FC4" i="10"/>
  <c r="FB4" i="10"/>
  <c r="FA4" i="10"/>
  <c r="EZ4" i="10"/>
  <c r="ES4" i="10"/>
  <c r="EB4" i="10"/>
  <c r="FG4" i="10" l="1"/>
  <c r="FK4" i="10" s="1"/>
  <c r="AH4" i="10" l="1"/>
  <c r="AK4" i="10" s="1"/>
  <c r="AL4" i="10" l="1"/>
  <c r="DE4" i="10" l="1"/>
  <c r="DD4" i="10"/>
  <c r="DC4" i="10"/>
  <c r="DB4" i="10"/>
  <c r="CZ4" i="10"/>
  <c r="CY4" i="10"/>
  <c r="CX4" i="10"/>
  <c r="CW4" i="10"/>
  <c r="CU4" i="10"/>
  <c r="CT4" i="10"/>
  <c r="CS4" i="10"/>
  <c r="CR4" i="10"/>
  <c r="CP4" i="10"/>
  <c r="CO4" i="10"/>
  <c r="CN4" i="10"/>
  <c r="CM4" i="10"/>
  <c r="CK4" i="10"/>
  <c r="CJ4" i="10"/>
  <c r="CI4" i="10"/>
  <c r="CH4" i="10"/>
  <c r="CF4" i="10"/>
  <c r="CE4" i="10"/>
  <c r="CD4" i="10"/>
  <c r="CC4" i="10"/>
  <c r="CA4" i="10"/>
  <c r="BZ4" i="10"/>
  <c r="BY4" i="10"/>
  <c r="BX4" i="10"/>
  <c r="BV4" i="10"/>
  <c r="BU4" i="10"/>
  <c r="BT4" i="10"/>
  <c r="BS4" i="10"/>
  <c r="AR4" i="10" l="1"/>
  <c r="AQ4" i="10" l="1"/>
  <c r="AT4" i="10"/>
  <c r="AV4" i="10" l="1"/>
  <c r="AU4" i="10"/>
  <c r="DT4" i="10" l="1"/>
  <c r="BE4" i="10" l="1"/>
  <c r="AZ4" i="10" l="1"/>
  <c r="EF4" i="10" l="1"/>
  <c r="EG4" i="10" s="1"/>
  <c r="AB4" i="10"/>
  <c r="AA4" i="10"/>
  <c r="Z4" i="10"/>
  <c r="AS4" i="10" l="1"/>
  <c r="AP4" i="10"/>
  <c r="AN4" i="10" l="1"/>
  <c r="AG4" i="10"/>
  <c r="AF4" i="10"/>
  <c r="AE4" i="10"/>
  <c r="AC4" i="10"/>
  <c r="AD4" i="10"/>
  <c r="I4" i="10" l="1"/>
  <c r="H4" i="10"/>
  <c r="G4" i="10"/>
  <c r="E4" i="10"/>
  <c r="X136" i="9" l="1"/>
  <c r="X112" i="9"/>
  <c r="X86" i="9"/>
  <c r="X62" i="9"/>
  <c r="X37" i="9"/>
  <c r="X13" i="9"/>
  <c r="AF22" i="3" l="1"/>
  <c r="AE22" i="3"/>
  <c r="AF21" i="3"/>
  <c r="AE21" i="3"/>
  <c r="AF20" i="3"/>
  <c r="AE20" i="3"/>
  <c r="AF19" i="3"/>
  <c r="AE19" i="3"/>
  <c r="U12" i="3"/>
  <c r="U19" i="3" s="1"/>
  <c r="V12" i="3"/>
  <c r="U22" i="3" s="1"/>
  <c r="AE23" i="3" l="1"/>
  <c r="AE24" i="3" s="1"/>
  <c r="AF23" i="3"/>
  <c r="AF24" i="3" s="1"/>
  <c r="U20" i="3"/>
  <c r="U21" i="3"/>
  <c r="AE25" i="3" l="1"/>
  <c r="AF25" i="3"/>
  <c r="AA23" i="7"/>
  <c r="Q13" i="7"/>
  <c r="X158" i="7" l="1"/>
  <c r="AB22" i="3" l="1"/>
  <c r="AB20" i="3"/>
  <c r="S133" i="7"/>
  <c r="AC6" i="3" l="1"/>
  <c r="AA52" i="7" l="1"/>
  <c r="B52" i="7" s="1"/>
  <c r="BW4" i="10" l="1"/>
  <c r="Q12" i="7"/>
  <c r="Q11" i="7"/>
  <c r="R1" i="9" l="1"/>
  <c r="A1" i="21"/>
  <c r="A1" i="23"/>
  <c r="U1" i="7"/>
  <c r="N1" i="3"/>
  <c r="O75" i="7" l="1"/>
  <c r="W4" i="10" s="1"/>
  <c r="F75" i="7" l="1"/>
  <c r="V4" i="10" s="1"/>
  <c r="DG4" i="10"/>
  <c r="Q4" i="10" l="1"/>
  <c r="DJ4" i="10"/>
  <c r="M21" i="3"/>
  <c r="AD21" i="3" s="1"/>
  <c r="M19" i="3"/>
  <c r="AA51" i="7"/>
  <c r="B51" i="7" s="1"/>
  <c r="AD19" i="3" l="1"/>
  <c r="AD23" i="3" s="1"/>
  <c r="FM4" i="10" s="1"/>
  <c r="AC19" i="3"/>
  <c r="Q19" i="3" s="1"/>
  <c r="AA19" i="3"/>
  <c r="AC21" i="3"/>
  <c r="Q21" i="3" s="1"/>
  <c r="AA21" i="3"/>
  <c r="AB21" i="3"/>
  <c r="AB19" i="3"/>
  <c r="AB4" i="3"/>
  <c r="AA5" i="3"/>
  <c r="AB5" i="3"/>
  <c r="AA3" i="3"/>
  <c r="AB3" i="3"/>
  <c r="AA4" i="3"/>
  <c r="AB2" i="3"/>
  <c r="AA2" i="3"/>
  <c r="AE29" i="3"/>
  <c r="AE28" i="3"/>
  <c r="BK4" i="10"/>
  <c r="I19" i="3"/>
  <c r="BF4" i="10" s="1"/>
  <c r="A148" i="7"/>
  <c r="A147" i="7"/>
  <c r="A146" i="7"/>
  <c r="A145" i="7"/>
  <c r="AK145" i="7"/>
  <c r="S4" i="10" l="1"/>
  <c r="AA6" i="3"/>
  <c r="AE6" i="3" s="1"/>
  <c r="AB6" i="3"/>
  <c r="AB23" i="3"/>
  <c r="AB24" i="3" s="1"/>
  <c r="V70" i="7" s="1"/>
  <c r="AF6" i="3" l="1"/>
  <c r="BN4" i="10"/>
  <c r="AA29" i="3" l="1"/>
  <c r="DR4" i="10" s="1"/>
  <c r="AI4" i="10" l="1"/>
  <c r="AJ4" i="10" l="1"/>
  <c r="AM4" i="10" s="1"/>
  <c r="W133" i="7"/>
  <c r="W130" i="7"/>
  <c r="E94" i="7"/>
  <c r="F3" i="28" s="1"/>
  <c r="W126" i="7"/>
  <c r="W131" i="7"/>
  <c r="W128" i="7"/>
  <c r="W127" i="7"/>
  <c r="W129" i="7"/>
  <c r="W132" i="7"/>
  <c r="FL4" i="10" l="1"/>
  <c r="D194" i="7"/>
  <c r="E194" i="7"/>
  <c r="N64" i="7" l="1"/>
  <c r="D65" i="7" s="1"/>
  <c r="J64" i="7"/>
  <c r="R10" i="7"/>
  <c r="DA4" i="10" l="1"/>
  <c r="DF4" i="10"/>
  <c r="I53" i="3" l="1"/>
  <c r="I23" i="3" s="1"/>
  <c r="I39" i="3"/>
  <c r="BI4" i="10" l="1"/>
  <c r="M15" i="3"/>
  <c r="AD6" i="3" l="1"/>
  <c r="CB4" i="10" l="1"/>
  <c r="DH4" i="10"/>
  <c r="X75" i="7" l="1"/>
  <c r="X4" i="10" s="1"/>
  <c r="DK4" i="10" l="1"/>
  <c r="CG4" i="10" l="1"/>
  <c r="CV4" i="10" l="1"/>
  <c r="CQ4" i="10"/>
  <c r="CL4" i="10" l="1"/>
  <c r="DM4" i="10" s="1"/>
  <c r="DL4" i="10" l="1"/>
  <c r="DP4" i="10" s="1"/>
  <c r="M22" i="3"/>
  <c r="AD22" i="3" s="1"/>
  <c r="R4" i="10"/>
  <c r="X76" i="7"/>
  <c r="DI4" i="10"/>
  <c r="I20" i="3" l="1"/>
  <c r="I24" i="3" s="1"/>
  <c r="AA20" i="3"/>
  <c r="AC22" i="3"/>
  <c r="Q22" i="3" s="1"/>
  <c r="AA22" i="3"/>
  <c r="AC2" i="3"/>
  <c r="AE2" i="3" s="1"/>
  <c r="AE11" i="27"/>
  <c r="AF11" i="27" s="1"/>
  <c r="BL4" i="10"/>
  <c r="AC20" i="3"/>
  <c r="Q20" i="3" s="1"/>
  <c r="AE15" i="27"/>
  <c r="AF15" i="27" s="1"/>
  <c r="AE17" i="27"/>
  <c r="AF17" i="27" s="1"/>
  <c r="AD3" i="3"/>
  <c r="AF3" i="3" s="1"/>
  <c r="AE14" i="27"/>
  <c r="AF14" i="27" s="1"/>
  <c r="AE16" i="27"/>
  <c r="AF16" i="27" s="1"/>
  <c r="AD2" i="3"/>
  <c r="AF2" i="3" s="1"/>
  <c r="AE7" i="27"/>
  <c r="AF7" i="27" s="1"/>
  <c r="AE24" i="27"/>
  <c r="AF24" i="27" s="1"/>
  <c r="AE23" i="27"/>
  <c r="AF23" i="27" s="1"/>
  <c r="AC4" i="3"/>
  <c r="AE4" i="3" s="1"/>
  <c r="AD5" i="3"/>
  <c r="AF5" i="3" s="1"/>
  <c r="AE13" i="27"/>
  <c r="AF13" i="27" s="1"/>
  <c r="AD4" i="3"/>
  <c r="AF4" i="3" s="1"/>
  <c r="AE20" i="27"/>
  <c r="AF20" i="27" s="1"/>
  <c r="AE22" i="27"/>
  <c r="AF22" i="27" s="1"/>
  <c r="AC5" i="3"/>
  <c r="AE5" i="3" s="1"/>
  <c r="AC3" i="3"/>
  <c r="AE3" i="3" s="1"/>
  <c r="AE26" i="27"/>
  <c r="AF26" i="27" s="1"/>
  <c r="AE10" i="27"/>
  <c r="AF10" i="27" s="1"/>
  <c r="AE9" i="27"/>
  <c r="AF9" i="27" s="1"/>
  <c r="AE21" i="27"/>
  <c r="AF21" i="27" s="1"/>
  <c r="AE12" i="27"/>
  <c r="AF12" i="27" s="1"/>
  <c r="AE6" i="27"/>
  <c r="AF6" i="27" s="1"/>
  <c r="AE8" i="27"/>
  <c r="AF8" i="27" s="1"/>
  <c r="AE25" i="27"/>
  <c r="AF25" i="27" s="1"/>
  <c r="O77" i="7"/>
  <c r="C11" i="7" s="1"/>
  <c r="Y4" i="10"/>
  <c r="BG4" i="10" l="1"/>
  <c r="BH4" i="10" s="1"/>
  <c r="AC23" i="3"/>
  <c r="O3" i="27"/>
  <c r="M24" i="3" s="1"/>
  <c r="K69" i="7" s="1"/>
  <c r="O4" i="10" s="1"/>
  <c r="DO4" i="10" s="1"/>
  <c r="T4" i="10"/>
  <c r="AA23" i="3"/>
  <c r="AA24" i="3" s="1"/>
  <c r="O14" i="3"/>
  <c r="R67" i="7" s="1"/>
  <c r="Q23" i="3"/>
  <c r="AH23" i="3" s="1"/>
  <c r="AH24" i="3" s="1"/>
  <c r="AI23" i="3" s="1"/>
  <c r="BO4" i="10"/>
  <c r="BJ4" i="10"/>
  <c r="H29" i="21"/>
  <c r="E29" i="21" s="1"/>
  <c r="H20" i="23"/>
  <c r="E20" i="23" s="1"/>
  <c r="E22" i="23" s="1"/>
  <c r="M39" i="3"/>
  <c r="AC24" i="3" l="1"/>
  <c r="AA30" i="3" s="1"/>
  <c r="AC25" i="3"/>
  <c r="W23" i="3"/>
  <c r="X23" i="3"/>
  <c r="V69" i="7"/>
  <c r="DQ4" i="10" s="1"/>
  <c r="U4" i="10"/>
  <c r="AA28" i="3"/>
  <c r="BM4" i="10"/>
  <c r="BQ4" i="10" s="1"/>
  <c r="F31" i="21"/>
  <c r="E31" i="21"/>
  <c r="E37" i="21" s="1"/>
  <c r="E28" i="23"/>
  <c r="F22" i="23"/>
  <c r="W24" i="3" l="1"/>
  <c r="X24" i="3" s="1"/>
  <c r="AI24" i="3" s="1"/>
  <c r="Q24" i="3" s="1"/>
  <c r="G22" i="23"/>
  <c r="F28" i="23"/>
  <c r="G31" i="21"/>
  <c r="F37" i="21"/>
  <c r="V68" i="7" l="1"/>
  <c r="P4" i="10" s="1"/>
  <c r="BP4" i="10"/>
  <c r="AE30" i="3"/>
  <c r="G33" i="21"/>
  <c r="H31" i="21"/>
  <c r="G24" i="23"/>
  <c r="H22" i="23"/>
  <c r="BR4" i="10" l="1"/>
  <c r="H24" i="23"/>
  <c r="I22" i="23"/>
  <c r="I31" i="21"/>
  <c r="H33" i="21"/>
  <c r="J31" i="21" l="1"/>
  <c r="I33" i="21"/>
  <c r="I24" i="23"/>
  <c r="J22" i="23"/>
  <c r="J24" i="23" l="1"/>
  <c r="K22" i="23"/>
  <c r="J33" i="21"/>
  <c r="K31" i="21"/>
  <c r="K33" i="21" l="1"/>
  <c r="L31" i="21"/>
  <c r="L22" i="23"/>
  <c r="K24" i="23"/>
  <c r="L24" i="23" l="1"/>
  <c r="M22" i="23"/>
  <c r="M31" i="21"/>
  <c r="L33" i="21"/>
  <c r="N22" i="23" l="1"/>
  <c r="M24" i="23"/>
  <c r="M33" i="21"/>
  <c r="N31" i="21"/>
  <c r="I32" i="21" s="1"/>
  <c r="I8" i="21" s="1"/>
  <c r="N33" i="21" l="1"/>
  <c r="E32" i="21"/>
  <c r="N24" i="23"/>
  <c r="K23" i="23"/>
  <c r="K8" i="23" s="1"/>
  <c r="I23" i="23"/>
  <c r="I8" i="23" s="1"/>
  <c r="G23" i="23"/>
  <c r="G8" i="23" s="1"/>
  <c r="L23" i="23"/>
  <c r="L8" i="23" s="1"/>
  <c r="N23" i="23"/>
  <c r="N8" i="23" s="1"/>
  <c r="E23" i="23"/>
  <c r="H23" i="23"/>
  <c r="H8" i="23" s="1"/>
  <c r="L32" i="21"/>
  <c r="L8" i="21" s="1"/>
  <c r="J32" i="21"/>
  <c r="J8" i="21" s="1"/>
  <c r="F23" i="23"/>
  <c r="F8" i="23" s="1"/>
  <c r="F32" i="21"/>
  <c r="F8" i="21" s="1"/>
  <c r="G32" i="21"/>
  <c r="G8" i="21" s="1"/>
  <c r="M32" i="21"/>
  <c r="M8" i="21" s="1"/>
  <c r="J23" i="23"/>
  <c r="J8" i="23" s="1"/>
  <c r="H32" i="21"/>
  <c r="H8" i="21" s="1"/>
  <c r="M23" i="23"/>
  <c r="M8" i="23" s="1"/>
  <c r="K32" i="21"/>
  <c r="K8" i="21" s="1"/>
  <c r="N32" i="21"/>
  <c r="N8" i="21" s="1"/>
  <c r="E8" i="21" l="1"/>
  <c r="E35" i="21"/>
  <c r="E36" i="21" s="1"/>
  <c r="E26" i="23"/>
  <c r="E27" i="23" s="1"/>
  <c r="E8" i="23"/>
  <c r="G36" i="21" l="1"/>
  <c r="D8" i="21"/>
  <c r="G27" i="23"/>
  <c r="D8"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E16" authorId="0" shapeId="0" xr:uid="{00000000-0006-0000-0400-000001000000}">
      <text>
        <r>
          <rPr>
            <b/>
            <sz val="9"/>
            <color indexed="81"/>
            <rFont val="MS P ゴシック"/>
            <family val="3"/>
            <charset val="128"/>
          </rPr>
          <t>助成率の高い方で計算</t>
        </r>
      </text>
    </comment>
    <comment ref="BF16" authorId="0" shapeId="0" xr:uid="{00000000-0006-0000-0400-000002000000}">
      <text>
        <r>
          <rPr>
            <sz val="9"/>
            <color indexed="81"/>
            <rFont val="MS P ゴシック"/>
            <family val="3"/>
            <charset val="128"/>
          </rPr>
          <t>1つでも下限額未満があれば下限額未満の判定</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900-000001000000}">
      <text>
        <r>
          <rPr>
            <b/>
            <sz val="9"/>
            <color indexed="81"/>
            <rFont val="MS P ゴシック"/>
            <family val="3"/>
            <charset val="128"/>
          </rPr>
          <t>大/中/小の判定
- 業種コード39で従業員100~300人の場合は"要確認-情報サービス業"
- 業種コード75で従業員100~200人の場合は"要確認-宿泊業"</t>
        </r>
      </text>
    </comment>
    <comment ref="E2" authorId="0" shapeId="0" xr:uid="{00000000-0006-0000-0900-000002000000}">
      <text>
        <r>
          <rPr>
            <b/>
            <sz val="9"/>
            <color indexed="81"/>
            <rFont val="MS P ゴシック"/>
            <family val="3"/>
            <charset val="128"/>
          </rPr>
          <t>該当業種コードにおける大企業/中小企業の資本金境界値</t>
        </r>
      </text>
    </comment>
    <comment ref="F2" authorId="0" shapeId="0" xr:uid="{00000000-0006-0000-0900-000003000000}">
      <text>
        <r>
          <rPr>
            <b/>
            <sz val="9"/>
            <color indexed="81"/>
            <rFont val="MS P ゴシック"/>
            <family val="3"/>
            <charset val="128"/>
          </rPr>
          <t>該当業種コードにおける大企業/中小企業の従業員境界値</t>
        </r>
      </text>
    </comment>
    <comment ref="H2" authorId="0" shapeId="0" xr:uid="{00000000-0006-0000-0900-000004000000}">
      <text>
        <r>
          <rPr>
            <b/>
            <sz val="9"/>
            <color indexed="81"/>
            <rFont val="MS P ゴシック"/>
            <family val="3"/>
            <charset val="128"/>
          </rPr>
          <t>該当業種コードにおける中小企業/小規模企業者の従業員境界値</t>
        </r>
      </text>
    </comment>
    <comment ref="E3" authorId="0" shapeId="0" xr:uid="{00000000-0006-0000-0900-000005000000}">
      <text>
        <r>
          <rPr>
            <b/>
            <sz val="9"/>
            <color indexed="81"/>
            <rFont val="MS P ゴシック"/>
            <family val="3"/>
            <charset val="128"/>
          </rPr>
          <t>資本金</t>
        </r>
      </text>
    </comment>
    <comment ref="F3" authorId="0" shapeId="0" xr:uid="{00000000-0006-0000-0900-000006000000}">
      <text>
        <r>
          <rPr>
            <b/>
            <sz val="9"/>
            <color indexed="81"/>
            <rFont val="MS P ゴシック"/>
            <family val="3"/>
            <charset val="128"/>
          </rPr>
          <t>従業員</t>
        </r>
      </text>
    </comment>
  </commentList>
</comments>
</file>

<file path=xl/sharedStrings.xml><?xml version="1.0" encoding="utf-8"?>
<sst xmlns="http://schemas.openxmlformats.org/spreadsheetml/2006/main" count="2837" uniqueCount="1216">
  <si>
    <t>申　　請　　前　　確　　認　　書</t>
    <rPh sb="0" eb="1">
      <t>サル</t>
    </rPh>
    <rPh sb="3" eb="4">
      <t>ショウ</t>
    </rPh>
    <rPh sb="6" eb="7">
      <t>マエ</t>
    </rPh>
    <rPh sb="9" eb="10">
      <t>アキラ</t>
    </rPh>
    <rPh sb="12" eb="13">
      <t>ニン</t>
    </rPh>
    <rPh sb="15" eb="16">
      <t>ショ</t>
    </rPh>
    <phoneticPr fontId="1"/>
  </si>
  <si>
    <t>代表者名：</t>
    <rPh sb="0" eb="3">
      <t>ダイヒョウシャ</t>
    </rPh>
    <rPh sb="3" eb="4">
      <t>メイ</t>
    </rPh>
    <phoneticPr fontId="1"/>
  </si>
  <si>
    <t>名　　称：</t>
    <rPh sb="0" eb="1">
      <t>ナ</t>
    </rPh>
    <rPh sb="3" eb="4">
      <t>ショウ</t>
    </rPh>
    <phoneticPr fontId="1"/>
  </si>
  <si>
    <t>記</t>
    <rPh sb="0" eb="1">
      <t>キ</t>
    </rPh>
    <phoneticPr fontId="1"/>
  </si>
  <si>
    <t>年</t>
    <rPh sb="0" eb="1">
      <t>ネン</t>
    </rPh>
    <phoneticPr fontId="1"/>
  </si>
  <si>
    <t>日</t>
    <rPh sb="0" eb="1">
      <t>ニチ</t>
    </rPh>
    <phoneticPr fontId="1"/>
  </si>
  <si>
    <t>公益財団法人　東京都中小企業振興公社</t>
  </si>
  <si>
    <t>理　　事　　長　　　殿</t>
  </si>
  <si>
    <t>公益財団法人 東京都中小企業振興公社　　理　事　長　　殿</t>
    <phoneticPr fontId="1"/>
  </si>
  <si>
    <t xml:space="preserve"> 受付番号</t>
    <rPh sb="1" eb="3">
      <t>ウケツケ</t>
    </rPh>
    <rPh sb="3" eb="5">
      <t>バンゴウ</t>
    </rPh>
    <phoneticPr fontId="1"/>
  </si>
  <si>
    <t>名　　　　　称</t>
  </si>
  <si>
    <t>代　表　者　名</t>
  </si>
  <si>
    <t>本 店 所 在 地</t>
    <phoneticPr fontId="1"/>
  </si>
  <si>
    <t>下記のとおり助成事業を実施いたしますので、助成金の交付を申請します。</t>
  </si>
  <si>
    <t>記</t>
    <rPh sb="0" eb="1">
      <t>キ</t>
    </rPh>
    <phoneticPr fontId="1"/>
  </si>
  <si>
    <t>１</t>
    <phoneticPr fontId="1"/>
  </si>
  <si>
    <t>事業計画テーマ</t>
    <rPh sb="0" eb="2">
      <t>ジギョウ</t>
    </rPh>
    <rPh sb="2" eb="4">
      <t>ケイカク</t>
    </rPh>
    <phoneticPr fontId="1"/>
  </si>
  <si>
    <t>２</t>
    <phoneticPr fontId="1"/>
  </si>
  <si>
    <t>３</t>
    <phoneticPr fontId="1"/>
  </si>
  <si>
    <t xml:space="preserve"> 公社記入欄</t>
    <rPh sb="1" eb="3">
      <t>コウシャ</t>
    </rPh>
    <rPh sb="3" eb="5">
      <t>キニュウ</t>
    </rPh>
    <rPh sb="5" eb="6">
      <t>ラン</t>
    </rPh>
    <phoneticPr fontId="1"/>
  </si>
  <si>
    <t>業種・常用従業員人数</t>
    <phoneticPr fontId="1"/>
  </si>
  <si>
    <t>常用従業員数（役員除く）</t>
  </si>
  <si>
    <t>人</t>
    <rPh sb="0" eb="1">
      <t>ニン</t>
    </rPh>
    <phoneticPr fontId="1"/>
  </si>
  <si>
    <t>４</t>
    <phoneticPr fontId="1"/>
  </si>
  <si>
    <t>助成対象経費</t>
  </si>
  <si>
    <t>　経費</t>
    <rPh sb="1" eb="3">
      <t>ケイヒ</t>
    </rPh>
    <phoneticPr fontId="1"/>
  </si>
  <si>
    <t>円</t>
    <rPh sb="0" eb="1">
      <t>エン</t>
    </rPh>
    <phoneticPr fontId="1"/>
  </si>
  <si>
    <t>５</t>
    <phoneticPr fontId="1"/>
  </si>
  <si>
    <t>申請機種数</t>
  </si>
  <si>
    <t>機械装置</t>
    <phoneticPr fontId="1"/>
  </si>
  <si>
    <t>基</t>
  </si>
  <si>
    <t>基</t>
    <phoneticPr fontId="1"/>
  </si>
  <si>
    <t>器具備品</t>
  </si>
  <si>
    <t>６</t>
    <phoneticPr fontId="1"/>
  </si>
  <si>
    <t>申請者の概要</t>
    <rPh sb="0" eb="3">
      <t>シンセイシャ</t>
    </rPh>
    <rPh sb="4" eb="6">
      <t>ガイヨウ</t>
    </rPh>
    <phoneticPr fontId="1"/>
  </si>
  <si>
    <t>中分類名：</t>
    <rPh sb="0" eb="1">
      <t>チュウ</t>
    </rPh>
    <rPh sb="1" eb="3">
      <t>ブンルイ</t>
    </rPh>
    <rPh sb="3" eb="4">
      <t>メイ</t>
    </rPh>
    <phoneticPr fontId="1"/>
  </si>
  <si>
    <t>フリガナ</t>
    <phoneticPr fontId="1"/>
  </si>
  <si>
    <t>代表者名</t>
    <rPh sb="0" eb="3">
      <t>ダイヒョウシャ</t>
    </rPh>
    <rPh sb="3" eb="4">
      <t>メイ</t>
    </rPh>
    <phoneticPr fontId="1"/>
  </si>
  <si>
    <t>年齢</t>
    <rPh sb="0" eb="2">
      <t>ネンレイ</t>
    </rPh>
    <phoneticPr fontId="1"/>
  </si>
  <si>
    <t>歳</t>
    <rPh sb="0" eb="1">
      <t>サイ</t>
    </rPh>
    <phoneticPr fontId="1"/>
  </si>
  <si>
    <t>本店
所在地</t>
    <rPh sb="0" eb="2">
      <t>ホンテン</t>
    </rPh>
    <rPh sb="3" eb="6">
      <t>ショザイチ</t>
    </rPh>
    <phoneticPr fontId="1"/>
  </si>
  <si>
    <t>〒</t>
    <phoneticPr fontId="1"/>
  </si>
  <si>
    <t>TEL</t>
    <phoneticPr fontId="1"/>
  </si>
  <si>
    <t>本事業に
関する
連絡先</t>
    <rPh sb="0" eb="1">
      <t>ホン</t>
    </rPh>
    <rPh sb="1" eb="3">
      <t>ジギョウ</t>
    </rPh>
    <rPh sb="5" eb="6">
      <t>カン</t>
    </rPh>
    <rPh sb="9" eb="12">
      <t>レンラクサキ</t>
    </rPh>
    <phoneticPr fontId="1"/>
  </si>
  <si>
    <t>企業名</t>
    <rPh sb="0" eb="2">
      <t>キギョウ</t>
    </rPh>
    <rPh sb="2" eb="3">
      <t>メイ</t>
    </rPh>
    <phoneticPr fontId="1"/>
  </si>
  <si>
    <t>部署・役職</t>
    <rPh sb="0" eb="2">
      <t>ブショ</t>
    </rPh>
    <rPh sb="3" eb="5">
      <t>ヤクショク</t>
    </rPh>
    <phoneticPr fontId="1"/>
  </si>
  <si>
    <t>氏名</t>
    <rPh sb="0" eb="2">
      <t>シメイ</t>
    </rPh>
    <phoneticPr fontId="1"/>
  </si>
  <si>
    <t>ﾌﾘｶﾞﾅ</t>
    <phoneticPr fontId="1"/>
  </si>
  <si>
    <t>連絡先
担当者</t>
    <rPh sb="0" eb="2">
      <t>レンラク</t>
    </rPh>
    <rPh sb="2" eb="3">
      <t>サキ</t>
    </rPh>
    <rPh sb="4" eb="7">
      <t>タントウシャ</t>
    </rPh>
    <phoneticPr fontId="1"/>
  </si>
  <si>
    <t>ﾒｰﾙｱﾄﾞﾚｽ：</t>
    <phoneticPr fontId="1"/>
  </si>
  <si>
    <t>資本金・
出資金</t>
    <rPh sb="0" eb="3">
      <t>シホンキン</t>
    </rPh>
    <rPh sb="5" eb="8">
      <t>シュッシキン</t>
    </rPh>
    <phoneticPr fontId="1"/>
  </si>
  <si>
    <t>創業年数</t>
    <rPh sb="0" eb="2">
      <t>ソウギョウ</t>
    </rPh>
    <rPh sb="2" eb="4">
      <t>ネンスウ</t>
    </rPh>
    <phoneticPr fontId="1"/>
  </si>
  <si>
    <t>事業開始</t>
    <rPh sb="0" eb="2">
      <t>ジギョウ</t>
    </rPh>
    <rPh sb="2" eb="4">
      <t>カイシ</t>
    </rPh>
    <phoneticPr fontId="1"/>
  </si>
  <si>
    <t>千円</t>
    <rPh sb="0" eb="2">
      <t>センエン</t>
    </rPh>
    <phoneticPr fontId="1"/>
  </si>
  <si>
    <t>ケ月</t>
    <rPh sb="1" eb="2">
      <t>ゲツ</t>
    </rPh>
    <phoneticPr fontId="1"/>
  </si>
  <si>
    <t>月</t>
    <rPh sb="0" eb="1">
      <t>ツキ</t>
    </rPh>
    <phoneticPr fontId="1"/>
  </si>
  <si>
    <t>正規従業員</t>
  </si>
  <si>
    <t>アルバイト/パート等で、予め解雇の予告を必要とする者</t>
  </si>
  <si>
    <t>日雇い被雇用者で、1ヶ月を超えて勤務している者</t>
  </si>
  <si>
    <t>※</t>
    <phoneticPr fontId="1"/>
  </si>
  <si>
    <t>小規模企業者の判定</t>
    <rPh sb="0" eb="3">
      <t>ショウキボ</t>
    </rPh>
    <rPh sb="3" eb="5">
      <t>キギョウ</t>
    </rPh>
    <rPh sb="5" eb="6">
      <t>シャ</t>
    </rPh>
    <rPh sb="7" eb="9">
      <t>ハンテイ</t>
    </rPh>
    <phoneticPr fontId="1"/>
  </si>
  <si>
    <t>該当</t>
    <rPh sb="0" eb="2">
      <t>ガイトウ</t>
    </rPh>
    <phoneticPr fontId="1"/>
  </si>
  <si>
    <t>非該当</t>
    <rPh sb="0" eb="3">
      <t>ヒガイトウ</t>
    </rPh>
    <phoneticPr fontId="1"/>
  </si>
  <si>
    <t>（同上にﾁｪｯｸした場合は住所・TEL記入不要）</t>
    <rPh sb="1" eb="3">
      <t>ドウジョウ</t>
    </rPh>
    <rPh sb="10" eb="12">
      <t>バアイ</t>
    </rPh>
    <rPh sb="13" eb="15">
      <t>ジュウショ</t>
    </rPh>
    <rPh sb="19" eb="21">
      <t>キニュウ</t>
    </rPh>
    <rPh sb="21" eb="23">
      <t>フヨウ</t>
    </rPh>
    <phoneticPr fontId="1"/>
  </si>
  <si>
    <t>役員を除く常用
従業員数</t>
    <rPh sb="0" eb="2">
      <t>ヤクイン</t>
    </rPh>
    <rPh sb="3" eb="4">
      <t>ノゾ</t>
    </rPh>
    <rPh sb="5" eb="7">
      <t>ジョウヨウ</t>
    </rPh>
    <rPh sb="8" eb="11">
      <t>ジュウギョウイン</t>
    </rPh>
    <rPh sb="11" eb="12">
      <t>カズ</t>
    </rPh>
    <phoneticPr fontId="1"/>
  </si>
  <si>
    <t>常用従業員数</t>
    <rPh sb="0" eb="2">
      <t>ジョウヨウ</t>
    </rPh>
    <rPh sb="2" eb="5">
      <t>ジュウギョウイン</t>
    </rPh>
    <rPh sb="5" eb="6">
      <t>カズ</t>
    </rPh>
    <phoneticPr fontId="1"/>
  </si>
  <si>
    <t>役員数</t>
    <rPh sb="0" eb="2">
      <t>ヤクイン</t>
    </rPh>
    <rPh sb="2" eb="3">
      <t>カズ</t>
    </rPh>
    <phoneticPr fontId="1"/>
  </si>
  <si>
    <t>業務内容</t>
    <rPh sb="0" eb="2">
      <t>ギョウム</t>
    </rPh>
    <rPh sb="2" eb="4">
      <t>ナイヨウ</t>
    </rPh>
    <phoneticPr fontId="1"/>
  </si>
  <si>
    <t>所　在　地</t>
    <rPh sb="0" eb="1">
      <t>ショ</t>
    </rPh>
    <rPh sb="2" eb="3">
      <t>ザイ</t>
    </rPh>
    <rPh sb="4" eb="5">
      <t>チ</t>
    </rPh>
    <phoneticPr fontId="1"/>
  </si>
  <si>
    <t>事 業 所 名</t>
    <rPh sb="0" eb="1">
      <t>コト</t>
    </rPh>
    <rPh sb="2" eb="3">
      <t>ギョウ</t>
    </rPh>
    <rPh sb="4" eb="5">
      <t>ショ</t>
    </rPh>
    <rPh sb="6" eb="7">
      <t>メイ</t>
    </rPh>
    <phoneticPr fontId="1"/>
  </si>
  <si>
    <t>７</t>
    <phoneticPr fontId="1"/>
  </si>
  <si>
    <t>全役員名簿（基準日現在）</t>
    <rPh sb="0" eb="1">
      <t>ゼン</t>
    </rPh>
    <rPh sb="1" eb="3">
      <t>ヤクイン</t>
    </rPh>
    <rPh sb="3" eb="5">
      <t>メイボ</t>
    </rPh>
    <rPh sb="6" eb="9">
      <t>キジュンビ</t>
    </rPh>
    <rPh sb="9" eb="11">
      <t>ゲンザイ</t>
    </rPh>
    <phoneticPr fontId="1"/>
  </si>
  <si>
    <t>常用従業員
合計</t>
    <rPh sb="0" eb="2">
      <t>ジョウヨウ</t>
    </rPh>
    <rPh sb="2" eb="5">
      <t>ジュウギョウイン</t>
    </rPh>
    <rPh sb="6" eb="8">
      <t>ゴウケイ</t>
    </rPh>
    <phoneticPr fontId="1"/>
  </si>
  <si>
    <t>常用従業員合計</t>
    <phoneticPr fontId="1"/>
  </si>
  <si>
    <t>従業員
内訳</t>
    <rPh sb="0" eb="3">
      <t>ジュウギョウイン</t>
    </rPh>
    <rPh sb="4" eb="6">
      <t>ウチワケ</t>
    </rPh>
    <phoneticPr fontId="1"/>
  </si>
  <si>
    <t>現有機械設備</t>
    <rPh sb="0" eb="2">
      <t>ゲンユウ</t>
    </rPh>
    <rPh sb="2" eb="4">
      <t>キカイ</t>
    </rPh>
    <rPh sb="4" eb="6">
      <t>セツビ</t>
    </rPh>
    <phoneticPr fontId="1"/>
  </si>
  <si>
    <t>設 備 の 名 称</t>
    <rPh sb="0" eb="1">
      <t>セツ</t>
    </rPh>
    <rPh sb="2" eb="3">
      <t>ビ</t>
    </rPh>
    <rPh sb="6" eb="7">
      <t>ナ</t>
    </rPh>
    <rPh sb="8" eb="9">
      <t>ショウ</t>
    </rPh>
    <phoneticPr fontId="1"/>
  </si>
  <si>
    <t>台数</t>
    <rPh sb="0" eb="2">
      <t>ダイスウ</t>
    </rPh>
    <phoneticPr fontId="1"/>
  </si>
  <si>
    <t>使 用 目 的</t>
    <rPh sb="0" eb="1">
      <t>シ</t>
    </rPh>
    <rPh sb="2" eb="3">
      <t>ヨウ</t>
    </rPh>
    <rPh sb="4" eb="5">
      <t>メ</t>
    </rPh>
    <rPh sb="6" eb="7">
      <t>テキ</t>
    </rPh>
    <phoneticPr fontId="1"/>
  </si>
  <si>
    <t>設 置 場 所</t>
    <rPh sb="0" eb="1">
      <t>セツ</t>
    </rPh>
    <rPh sb="2" eb="3">
      <t>チ</t>
    </rPh>
    <rPh sb="4" eb="5">
      <t>バ</t>
    </rPh>
    <rPh sb="6" eb="7">
      <t>ショ</t>
    </rPh>
    <phoneticPr fontId="1"/>
  </si>
  <si>
    <t>主 要 取 引 先</t>
    <rPh sb="0" eb="1">
      <t>シュ</t>
    </rPh>
    <rPh sb="2" eb="3">
      <t>ヨウ</t>
    </rPh>
    <rPh sb="4" eb="5">
      <t>トリ</t>
    </rPh>
    <rPh sb="6" eb="7">
      <t>イン</t>
    </rPh>
    <rPh sb="8" eb="9">
      <t>サキ</t>
    </rPh>
    <phoneticPr fontId="1"/>
  </si>
  <si>
    <t>直近年間取引高</t>
    <rPh sb="0" eb="2">
      <t>チョッキン</t>
    </rPh>
    <rPh sb="2" eb="4">
      <t>ネンカン</t>
    </rPh>
    <rPh sb="4" eb="6">
      <t>トリヒキ</t>
    </rPh>
    <rPh sb="6" eb="7">
      <t>タカ</t>
    </rPh>
    <phoneticPr fontId="1"/>
  </si>
  <si>
    <t>取引年数</t>
    <rPh sb="0" eb="2">
      <t>トリヒキ</t>
    </rPh>
    <rPh sb="2" eb="4">
      <t>ネンスウ</t>
    </rPh>
    <phoneticPr fontId="1"/>
  </si>
  <si>
    <t>1)</t>
    <phoneticPr fontId="1"/>
  </si>
  <si>
    <t>2)</t>
    <phoneticPr fontId="1"/>
  </si>
  <si>
    <t>3)</t>
    <phoneticPr fontId="1"/>
  </si>
  <si>
    <t>4)</t>
    <phoneticPr fontId="1"/>
  </si>
  <si>
    <t>5)</t>
    <phoneticPr fontId="1"/>
  </si>
  <si>
    <t>6)</t>
    <phoneticPr fontId="1"/>
  </si>
  <si>
    <t>7)</t>
    <phoneticPr fontId="1"/>
  </si>
  <si>
    <t>8)</t>
    <phoneticPr fontId="1"/>
  </si>
  <si>
    <t>役員氏名</t>
    <rPh sb="0" eb="2">
      <t>ヤクイン</t>
    </rPh>
    <rPh sb="2" eb="4">
      <t>シメイ</t>
    </rPh>
    <phoneticPr fontId="1"/>
  </si>
  <si>
    <t>役職</t>
    <rPh sb="0" eb="2">
      <t>ヤクショク</t>
    </rPh>
    <phoneticPr fontId="1"/>
  </si>
  <si>
    <t>現　住　所</t>
    <rPh sb="0" eb="1">
      <t>ゲン</t>
    </rPh>
    <rPh sb="2" eb="3">
      <t>ジュウ</t>
    </rPh>
    <rPh sb="4" eb="5">
      <t>ショ</t>
    </rPh>
    <phoneticPr fontId="1"/>
  </si>
  <si>
    <t>８</t>
    <phoneticPr fontId="1"/>
  </si>
  <si>
    <t>大企業に該当</t>
    <rPh sb="0" eb="3">
      <t>ダイキギョウ</t>
    </rPh>
    <rPh sb="4" eb="6">
      <t>ガイトウ</t>
    </rPh>
    <phoneticPr fontId="1"/>
  </si>
  <si>
    <t>株</t>
    <rPh sb="0" eb="1">
      <t>カブ</t>
    </rPh>
    <phoneticPr fontId="1"/>
  </si>
  <si>
    <t>合　計</t>
    <rPh sb="0" eb="1">
      <t>ゴウ</t>
    </rPh>
    <rPh sb="2" eb="3">
      <t>ケイ</t>
    </rPh>
    <phoneticPr fontId="1"/>
  </si>
  <si>
    <t>確定申告書 別表２と異なる場合は、その理由をご記載ください。</t>
    <rPh sb="0" eb="2">
      <t>カクテイ</t>
    </rPh>
    <rPh sb="2" eb="4">
      <t>シンコク</t>
    </rPh>
    <rPh sb="6" eb="8">
      <t>ベッピョウ</t>
    </rPh>
    <phoneticPr fontId="1"/>
  </si>
  <si>
    <t>※　株主・出資者に投資会社やホールディングス会社が含まれる企業の方のみ以下もご記入ください。</t>
    <phoneticPr fontId="1"/>
  </si>
  <si>
    <t>(</t>
    <phoneticPr fontId="1"/>
  </si>
  <si>
    <t>%)</t>
    <phoneticPr fontId="1"/>
  </si>
  <si>
    <t>　筆頭株主　：</t>
    <rPh sb="1" eb="3">
      <t>ヒットウ</t>
    </rPh>
    <rPh sb="3" eb="5">
      <t>カブヌシ</t>
    </rPh>
    <phoneticPr fontId="1"/>
  </si>
  <si>
    <t>　第二位株主：</t>
    <rPh sb="1" eb="3">
      <t>ダイニ</t>
    </rPh>
    <rPh sb="3" eb="4">
      <t>イ</t>
    </rPh>
    <rPh sb="4" eb="6">
      <t>カブヌシ</t>
    </rPh>
    <phoneticPr fontId="1"/>
  </si>
  <si>
    <t>９</t>
    <phoneticPr fontId="1"/>
  </si>
  <si>
    <t>年度</t>
    <rPh sb="0" eb="2">
      <t>ネンド</t>
    </rPh>
    <phoneticPr fontId="1"/>
  </si>
  <si>
    <t>申請先</t>
    <rPh sb="0" eb="2">
      <t>シンセイ</t>
    </rPh>
    <rPh sb="2" eb="3">
      <t>サキ</t>
    </rPh>
    <phoneticPr fontId="1"/>
  </si>
  <si>
    <t>助成事業名</t>
    <rPh sb="0" eb="2">
      <t>ジョセイ</t>
    </rPh>
    <rPh sb="2" eb="4">
      <t>ジギョウ</t>
    </rPh>
    <rPh sb="4" eb="5">
      <t>メイ</t>
    </rPh>
    <phoneticPr fontId="1"/>
  </si>
  <si>
    <t>設備名</t>
    <rPh sb="0" eb="2">
      <t>セツビ</t>
    </rPh>
    <rPh sb="2" eb="3">
      <t>メイ</t>
    </rPh>
    <phoneticPr fontId="1"/>
  </si>
  <si>
    <t>助成額（申請金額又は確定額）</t>
    <rPh sb="0" eb="3">
      <t>ジョセイガク</t>
    </rPh>
    <rPh sb="4" eb="6">
      <t>シンセイ</t>
    </rPh>
    <rPh sb="6" eb="8">
      <t>キンガク</t>
    </rPh>
    <rPh sb="8" eb="9">
      <t>マタ</t>
    </rPh>
    <rPh sb="10" eb="12">
      <t>カクテイ</t>
    </rPh>
    <rPh sb="12" eb="13">
      <t>ガク</t>
    </rPh>
    <phoneticPr fontId="1"/>
  </si>
  <si>
    <t>採択決定（予定）年月</t>
    <rPh sb="0" eb="2">
      <t>サイタク</t>
    </rPh>
    <rPh sb="2" eb="4">
      <t>ケッテイ</t>
    </rPh>
    <rPh sb="5" eb="7">
      <t>ヨテイ</t>
    </rPh>
    <rPh sb="8" eb="10">
      <t>ネンゲツ</t>
    </rPh>
    <phoneticPr fontId="1"/>
  </si>
  <si>
    <t>千円</t>
    <rPh sb="0" eb="2">
      <t>センエン</t>
    </rPh>
    <phoneticPr fontId="1"/>
  </si>
  <si>
    <t>年</t>
    <rPh sb="0" eb="1">
      <t>ネン</t>
    </rPh>
    <phoneticPr fontId="1"/>
  </si>
  <si>
    <t>月</t>
    <rPh sb="0" eb="1">
      <t>ゲツ</t>
    </rPh>
    <phoneticPr fontId="1"/>
  </si>
  <si>
    <t xml:space="preserve"> 都内</t>
    <rPh sb="1" eb="3">
      <t>トナイ</t>
    </rPh>
    <phoneticPr fontId="1"/>
  </si>
  <si>
    <t xml:space="preserve"> 都外</t>
    <rPh sb="1" eb="2">
      <t>ト</t>
    </rPh>
    <rPh sb="2" eb="3">
      <t>ガイ</t>
    </rPh>
    <phoneticPr fontId="1"/>
  </si>
  <si>
    <t>設置場所</t>
    <rPh sb="0" eb="2">
      <t>セッチ</t>
    </rPh>
    <rPh sb="2" eb="4">
      <t>バショ</t>
    </rPh>
    <phoneticPr fontId="1"/>
  </si>
  <si>
    <t>最寄りの交通機関</t>
    <rPh sb="0" eb="2">
      <t>モヨ</t>
    </rPh>
    <rPh sb="4" eb="6">
      <t>コウツウ</t>
    </rPh>
    <rPh sb="6" eb="8">
      <t>キカン</t>
    </rPh>
    <phoneticPr fontId="1"/>
  </si>
  <si>
    <t>線</t>
    <rPh sb="0" eb="1">
      <t>セン</t>
    </rPh>
    <phoneticPr fontId="1"/>
  </si>
  <si>
    <t>駅</t>
    <rPh sb="0" eb="1">
      <t>エキ</t>
    </rPh>
    <phoneticPr fontId="1"/>
  </si>
  <si>
    <t>口</t>
    <rPh sb="0" eb="1">
      <t>クチ</t>
    </rPh>
    <phoneticPr fontId="1"/>
  </si>
  <si>
    <t>下車</t>
    <rPh sb="0" eb="2">
      <t>ゲシャ</t>
    </rPh>
    <phoneticPr fontId="1"/>
  </si>
  <si>
    <t>徒歩</t>
    <rPh sb="0" eb="2">
      <t>トホ</t>
    </rPh>
    <phoneticPr fontId="1"/>
  </si>
  <si>
    <t>分</t>
    <rPh sb="0" eb="1">
      <t>フン</t>
    </rPh>
    <phoneticPr fontId="1"/>
  </si>
  <si>
    <t>ﾊﾞｽ</t>
    <phoneticPr fontId="1"/>
  </si>
  <si>
    <t>行き</t>
    <rPh sb="0" eb="1">
      <t>イ</t>
    </rPh>
    <phoneticPr fontId="1"/>
  </si>
  <si>
    <t>停留所</t>
    <rPh sb="0" eb="3">
      <t>テイリュウジョ</t>
    </rPh>
    <phoneticPr fontId="1"/>
  </si>
  <si>
    <t xml:space="preserve"> 自社所有</t>
    <rPh sb="1" eb="3">
      <t>ジシャ</t>
    </rPh>
    <rPh sb="3" eb="5">
      <t>ショユウ</t>
    </rPh>
    <phoneticPr fontId="1"/>
  </si>
  <si>
    <t xml:space="preserve"> (取得年月：</t>
    <rPh sb="2" eb="4">
      <t>シュトク</t>
    </rPh>
    <rPh sb="4" eb="6">
      <t>ネンゲツ</t>
    </rPh>
    <phoneticPr fontId="1"/>
  </si>
  <si>
    <t>)</t>
    <phoneticPr fontId="1"/>
  </si>
  <si>
    <t>（建築着工：</t>
    <rPh sb="1" eb="3">
      <t>ケンチク</t>
    </rPh>
    <rPh sb="3" eb="5">
      <t>チャッコウ</t>
    </rPh>
    <phoneticPr fontId="1"/>
  </si>
  <si>
    <t>月)</t>
    <rPh sb="0" eb="1">
      <t>ゲツ</t>
    </rPh>
    <phoneticPr fontId="1"/>
  </si>
  <si>
    <t>(建築中及び建築予定の場合のみ記載)</t>
    <rPh sb="1" eb="4">
      <t>ケンチクチュウ</t>
    </rPh>
    <rPh sb="4" eb="5">
      <t>オヨ</t>
    </rPh>
    <rPh sb="6" eb="8">
      <t>ケンチク</t>
    </rPh>
    <rPh sb="8" eb="10">
      <t>ヨテイ</t>
    </rPh>
    <rPh sb="11" eb="13">
      <t>バアイ</t>
    </rPh>
    <rPh sb="15" eb="17">
      <t>キサイ</t>
    </rPh>
    <phoneticPr fontId="1"/>
  </si>
  <si>
    <t xml:space="preserve"> 賃貸物件</t>
    <rPh sb="1" eb="3">
      <t>チンタイ</t>
    </rPh>
    <rPh sb="3" eb="5">
      <t>ブッケン</t>
    </rPh>
    <phoneticPr fontId="1"/>
  </si>
  <si>
    <t>（賃借期間：</t>
    <rPh sb="1" eb="3">
      <t>チンシャク</t>
    </rPh>
    <rPh sb="3" eb="5">
      <t>キカン</t>
    </rPh>
    <phoneticPr fontId="1"/>
  </si>
  <si>
    <t>～</t>
    <phoneticPr fontId="1"/>
  </si>
  <si>
    <t xml:space="preserve"> (所有者名：</t>
    <rPh sb="2" eb="5">
      <t>ショユウシャ</t>
    </rPh>
    <rPh sb="5" eb="6">
      <t>メイ</t>
    </rPh>
    <phoneticPr fontId="1"/>
  </si>
  <si>
    <t>(今後契約予定の場合のみ記載)</t>
    <rPh sb="1" eb="3">
      <t>コンゴ</t>
    </rPh>
    <rPh sb="3" eb="5">
      <t>ケイヤク</t>
    </rPh>
    <rPh sb="5" eb="7">
      <t>ヨテイ</t>
    </rPh>
    <rPh sb="8" eb="10">
      <t>バアイ</t>
    </rPh>
    <rPh sb="12" eb="14">
      <t>キサイ</t>
    </rPh>
    <phoneticPr fontId="1"/>
  </si>
  <si>
    <t>　同上の場合ﾁｪｯｸ</t>
    <rPh sb="1" eb="3">
      <t>ドウジョウ</t>
    </rPh>
    <rPh sb="4" eb="6">
      <t>バアイ</t>
    </rPh>
    <phoneticPr fontId="1"/>
  </si>
  <si>
    <t>人数小計</t>
    <rPh sb="0" eb="2">
      <t>ニンズウ</t>
    </rPh>
    <rPh sb="2" eb="4">
      <t>ショウケイ</t>
    </rPh>
    <phoneticPr fontId="1"/>
  </si>
  <si>
    <t>人数総合計（役員含む）</t>
    <rPh sb="0" eb="2">
      <t>ニンズウ</t>
    </rPh>
    <rPh sb="2" eb="3">
      <t>ソウ</t>
    </rPh>
    <rPh sb="3" eb="5">
      <t>ゴウケイ</t>
    </rPh>
    <rPh sb="6" eb="8">
      <t>ヤクイン</t>
    </rPh>
    <rPh sb="8" eb="9">
      <t>フク</t>
    </rPh>
    <phoneticPr fontId="1"/>
  </si>
  <si>
    <t>＊注）</t>
    <rPh sb="1" eb="2">
      <t>チュウ</t>
    </rPh>
    <phoneticPr fontId="1"/>
  </si>
  <si>
    <t>登記簿上の本店が都内にある</t>
    <rPh sb="0" eb="3">
      <t>トウキボ</t>
    </rPh>
    <rPh sb="3" eb="4">
      <t>ジョウ</t>
    </rPh>
    <rPh sb="5" eb="7">
      <t>ホンテン</t>
    </rPh>
    <rPh sb="8" eb="10">
      <t>トナイ</t>
    </rPh>
    <phoneticPr fontId="1"/>
  </si>
  <si>
    <t>次の７県のいずれかに設置する</t>
    <rPh sb="0" eb="1">
      <t>ツギ</t>
    </rPh>
    <rPh sb="3" eb="4">
      <t>ケン</t>
    </rPh>
    <rPh sb="10" eb="12">
      <t>セッチ</t>
    </rPh>
    <phoneticPr fontId="1"/>
  </si>
  <si>
    <t>後継者チャレンジ</t>
    <rPh sb="0" eb="3">
      <t>コウケイシャ</t>
    </rPh>
    <phoneticPr fontId="1"/>
  </si>
  <si>
    <t>No.</t>
    <phoneticPr fontId="1"/>
  </si>
  <si>
    <t>機械設備名称</t>
    <rPh sb="0" eb="2">
      <t>キカイ</t>
    </rPh>
    <rPh sb="2" eb="4">
      <t>セツビ</t>
    </rPh>
    <rPh sb="4" eb="6">
      <t>メイショウ</t>
    </rPh>
    <phoneticPr fontId="1"/>
  </si>
  <si>
    <t>メーカー名</t>
    <rPh sb="4" eb="5">
      <t>メイ</t>
    </rPh>
    <phoneticPr fontId="1"/>
  </si>
  <si>
    <t>法定耐用年数</t>
    <rPh sb="0" eb="2">
      <t>ホウテイ</t>
    </rPh>
    <rPh sb="2" eb="4">
      <t>タイヨウ</t>
    </rPh>
    <rPh sb="4" eb="6">
      <t>ネンスウ</t>
    </rPh>
    <phoneticPr fontId="1"/>
  </si>
  <si>
    <t>数量</t>
    <rPh sb="0" eb="2">
      <t>スウリョウ</t>
    </rPh>
    <phoneticPr fontId="1"/>
  </si>
  <si>
    <t>外貨金額</t>
    <rPh sb="0" eb="2">
      <t>ガイカ</t>
    </rPh>
    <rPh sb="2" eb="4">
      <t>キンガク</t>
    </rPh>
    <phoneticPr fontId="1"/>
  </si>
  <si>
    <t>型番・
機種番号</t>
    <rPh sb="0" eb="2">
      <t>カタバン</t>
    </rPh>
    <rPh sb="4" eb="6">
      <t>キシュ</t>
    </rPh>
    <rPh sb="6" eb="8">
      <t>バンゴウ</t>
    </rPh>
    <phoneticPr fontId="1"/>
  </si>
  <si>
    <t>（２）機械設備購入予定先・機械設備購入スケジュール</t>
    <rPh sb="3" eb="5">
      <t>キカイ</t>
    </rPh>
    <rPh sb="5" eb="7">
      <t>セツビ</t>
    </rPh>
    <rPh sb="7" eb="9">
      <t>コウニュウ</t>
    </rPh>
    <rPh sb="9" eb="11">
      <t>ヨテイ</t>
    </rPh>
    <rPh sb="11" eb="12">
      <t>サキ</t>
    </rPh>
    <rPh sb="13" eb="15">
      <t>キカイ</t>
    </rPh>
    <rPh sb="15" eb="17">
      <t>セツビ</t>
    </rPh>
    <rPh sb="17" eb="19">
      <t>コウニュウ</t>
    </rPh>
    <phoneticPr fontId="1"/>
  </si>
  <si>
    <t>販売会社名</t>
    <rPh sb="0" eb="2">
      <t>ハンバイ</t>
    </rPh>
    <rPh sb="2" eb="4">
      <t>ガイシャ</t>
    </rPh>
    <rPh sb="4" eb="5">
      <t>メイ</t>
    </rPh>
    <phoneticPr fontId="1"/>
  </si>
  <si>
    <t>機械設備購入先</t>
    <rPh sb="0" eb="2">
      <t>キカイ</t>
    </rPh>
    <rPh sb="2" eb="4">
      <t>セツビ</t>
    </rPh>
    <rPh sb="4" eb="6">
      <t>コウニュウ</t>
    </rPh>
    <rPh sb="6" eb="7">
      <t>サキ</t>
    </rPh>
    <phoneticPr fontId="1"/>
  </si>
  <si>
    <t>相見積先</t>
    <rPh sb="0" eb="3">
      <t>アイミツ</t>
    </rPh>
    <rPh sb="3" eb="4">
      <t>サキ</t>
    </rPh>
    <phoneticPr fontId="1"/>
  </si>
  <si>
    <t>購入契約年月</t>
    <rPh sb="0" eb="2">
      <t>コウニュウ</t>
    </rPh>
    <rPh sb="2" eb="4">
      <t>ケイヤク</t>
    </rPh>
    <rPh sb="4" eb="6">
      <t>ネンゲツ</t>
    </rPh>
    <phoneticPr fontId="1"/>
  </si>
  <si>
    <t>事業終了
予定年月</t>
    <rPh sb="0" eb="2">
      <t>ジギョウ</t>
    </rPh>
    <rPh sb="2" eb="4">
      <t>シュウリョウ</t>
    </rPh>
    <rPh sb="5" eb="7">
      <t>ヨテイ</t>
    </rPh>
    <rPh sb="7" eb="9">
      <t>ネンゲツ</t>
    </rPh>
    <phoneticPr fontId="1"/>
  </si>
  <si>
    <t>合計</t>
    <rPh sb="0" eb="2">
      <t>ゴウケイ</t>
    </rPh>
    <phoneticPr fontId="1"/>
  </si>
  <si>
    <t>税法上の
資産の種類</t>
    <rPh sb="0" eb="3">
      <t>ゼイホウジョウ</t>
    </rPh>
    <rPh sb="5" eb="7">
      <t>シサン</t>
    </rPh>
    <rPh sb="8" eb="10">
      <t>シュルイ</t>
    </rPh>
    <phoneticPr fontId="1"/>
  </si>
  <si>
    <t>　親会社、子会社グループ企業等関連会社（自社と資本関係のある会社、役員及び従業員等を兼任している会社、代表者の三親等以内の親族が経営する会社、役員もしくは従業員がコンサルタント契約や技術指導契約をしている会社）との取引に係る経費は、助成対象にはなりません。</t>
    <phoneticPr fontId="1"/>
  </si>
  <si>
    <t>事業計画に係る資金計画等</t>
    <rPh sb="0" eb="2">
      <t>ジギョウ</t>
    </rPh>
    <rPh sb="2" eb="4">
      <t>ケイカク</t>
    </rPh>
    <rPh sb="5" eb="6">
      <t>カカワ</t>
    </rPh>
    <rPh sb="7" eb="9">
      <t>シキン</t>
    </rPh>
    <rPh sb="9" eb="11">
      <t>ケイカク</t>
    </rPh>
    <rPh sb="11" eb="12">
      <t>トウ</t>
    </rPh>
    <phoneticPr fontId="18"/>
  </si>
  <si>
    <t>[申請者区分]</t>
    <rPh sb="1" eb="4">
      <t>シンセイシャ</t>
    </rPh>
    <rPh sb="4" eb="6">
      <t>クブン</t>
    </rPh>
    <phoneticPr fontId="18"/>
  </si>
  <si>
    <t>　助成対象設備の設置完了までの全体経費を記入してください。</t>
    <phoneticPr fontId="18"/>
  </si>
  <si>
    <t>（単位：円）</t>
    <rPh sb="1" eb="3">
      <t>タンイ</t>
    </rPh>
    <rPh sb="4" eb="5">
      <t>エン</t>
    </rPh>
    <phoneticPr fontId="18"/>
  </si>
  <si>
    <t>経　費　区　分</t>
    <phoneticPr fontId="24"/>
  </si>
  <si>
    <t>助成事業に要する経費</t>
    <phoneticPr fontId="18"/>
  </si>
  <si>
    <t>助成対象経費</t>
    <phoneticPr fontId="24"/>
  </si>
  <si>
    <t>（税込）</t>
    <rPh sb="1" eb="3">
      <t>ゼイコミ</t>
    </rPh>
    <phoneticPr fontId="18"/>
  </si>
  <si>
    <t>[注1]</t>
    <rPh sb="1" eb="2">
      <t>チュウ</t>
    </rPh>
    <phoneticPr fontId="18"/>
  </si>
  <si>
    <t>（税抜）</t>
    <rPh sb="1" eb="3">
      <t>ゼイヌキ</t>
    </rPh>
    <phoneticPr fontId="18"/>
  </si>
  <si>
    <t>[注2]</t>
    <rPh sb="1" eb="2">
      <t>チュウ</t>
    </rPh>
    <phoneticPr fontId="18"/>
  </si>
  <si>
    <t>（千円未満切捨て）</t>
    <rPh sb="1" eb="3">
      <t>センエン</t>
    </rPh>
    <rPh sb="3" eb="5">
      <t>ミマン</t>
    </rPh>
    <rPh sb="5" eb="7">
      <t>キリス</t>
    </rPh>
    <phoneticPr fontId="18"/>
  </si>
  <si>
    <t>[注3]</t>
    <rPh sb="1" eb="2">
      <t>チュウ</t>
    </rPh>
    <phoneticPr fontId="18"/>
  </si>
  <si>
    <t>　助成対象外経費</t>
    <rPh sb="1" eb="3">
      <t>ジョセイ</t>
    </rPh>
    <rPh sb="3" eb="6">
      <t>タイショウガイ</t>
    </rPh>
    <rPh sb="6" eb="8">
      <t>ケイヒ</t>
    </rPh>
    <phoneticPr fontId="18"/>
  </si>
  <si>
    <t>[注6]</t>
    <phoneticPr fontId="18"/>
  </si>
  <si>
    <t xml:space="preserve">  合　　計</t>
    <rPh sb="2" eb="3">
      <t>ゴウ</t>
    </rPh>
    <rPh sb="5" eb="6">
      <t>ケイ</t>
    </rPh>
    <phoneticPr fontId="18"/>
  </si>
  <si>
    <t>[助成限度額]</t>
    <rPh sb="1" eb="3">
      <t>ジョセイ</t>
    </rPh>
    <rPh sb="3" eb="5">
      <t>ゲンド</t>
    </rPh>
    <rPh sb="5" eb="6">
      <t>ガク</t>
    </rPh>
    <phoneticPr fontId="18"/>
  </si>
  <si>
    <t>（単位：円）</t>
    <phoneticPr fontId="18"/>
  </si>
  <si>
    <t>資金調達金額</t>
    <rPh sb="0" eb="2">
      <t>シキン</t>
    </rPh>
    <rPh sb="2" eb="4">
      <t>チョウタツ</t>
    </rPh>
    <rPh sb="4" eb="6">
      <t>キンガク</t>
    </rPh>
    <phoneticPr fontId="18"/>
  </si>
  <si>
    <t>調達先（名称）</t>
    <rPh sb="0" eb="3">
      <t>チョウタツサキ</t>
    </rPh>
    <rPh sb="4" eb="6">
      <t>メイショウ</t>
    </rPh>
    <phoneticPr fontId="24"/>
  </si>
  <si>
    <r>
      <t>備　考</t>
    </r>
    <r>
      <rPr>
        <sz val="11"/>
        <rFont val="ＭＳ 明朝"/>
        <family val="1"/>
        <charset val="128"/>
      </rPr>
      <t xml:space="preserve">
（進捗状況等)</t>
    </r>
    <rPh sb="0" eb="1">
      <t>ソナエ</t>
    </rPh>
    <rPh sb="2" eb="3">
      <t>コウ</t>
    </rPh>
    <rPh sb="5" eb="7">
      <t>シンチョク</t>
    </rPh>
    <rPh sb="7" eb="9">
      <t>ジョウキョウ</t>
    </rPh>
    <rPh sb="9" eb="10">
      <t>トウ</t>
    </rPh>
    <phoneticPr fontId="24"/>
  </si>
  <si>
    <t>　金融機関借入金</t>
    <rPh sb="1" eb="3">
      <t>キンユウ</t>
    </rPh>
    <rPh sb="3" eb="5">
      <t>キカン</t>
    </rPh>
    <rPh sb="5" eb="7">
      <t>カリイレ</t>
    </rPh>
    <rPh sb="7" eb="8">
      <t>キン</t>
    </rPh>
    <phoneticPr fontId="18"/>
  </si>
  <si>
    <t>　役員借入金</t>
    <rPh sb="1" eb="3">
      <t>ヤクイン</t>
    </rPh>
    <rPh sb="3" eb="5">
      <t>カリイレ</t>
    </rPh>
    <rPh sb="5" eb="6">
      <t>キン</t>
    </rPh>
    <phoneticPr fontId="18"/>
  </si>
  <si>
    <t>　自己資金</t>
    <rPh sb="1" eb="3">
      <t>ジコ</t>
    </rPh>
    <rPh sb="3" eb="5">
      <t>シキン</t>
    </rPh>
    <phoneticPr fontId="18"/>
  </si>
  <si>
    <t>　その他</t>
    <rPh sb="3" eb="4">
      <t>タ</t>
    </rPh>
    <phoneticPr fontId="18"/>
  </si>
  <si>
    <t>　合　　計</t>
    <rPh sb="1" eb="2">
      <t>ゴウ</t>
    </rPh>
    <rPh sb="4" eb="5">
      <t>ケイ</t>
    </rPh>
    <phoneticPr fontId="18"/>
  </si>
  <si>
    <t>[注5]</t>
    <rPh sb="1" eb="2">
      <t>チュウ</t>
    </rPh>
    <phoneticPr fontId="18"/>
  </si>
  <si>
    <t>[注4]</t>
    <rPh sb="1" eb="2">
      <t>チュウ</t>
    </rPh>
    <phoneticPr fontId="18"/>
  </si>
  <si>
    <t>助成金は完了検査後に交付されます。「資金調達内訳」には助成金が交付されるまでの間の資金調達額等について記載して下さい。</t>
    <rPh sb="6" eb="8">
      <t>ケンサ</t>
    </rPh>
    <phoneticPr fontId="18"/>
  </si>
  <si>
    <t>「助成事業に要する経費の合計」と「資金調達金額の合計」とが一致するように記載して下さい。</t>
    <phoneticPr fontId="18"/>
  </si>
  <si>
    <t>経費項目</t>
    <rPh sb="0" eb="2">
      <t>ケイヒ</t>
    </rPh>
    <rPh sb="2" eb="4">
      <t>コウモク</t>
    </rPh>
    <phoneticPr fontId="18"/>
  </si>
  <si>
    <t>内容</t>
    <rPh sb="0" eb="1">
      <t>ウチ</t>
    </rPh>
    <rPh sb="1" eb="2">
      <t>カタチ</t>
    </rPh>
    <phoneticPr fontId="24"/>
  </si>
  <si>
    <t>積算根拠</t>
    <rPh sb="0" eb="2">
      <t>セキサン</t>
    </rPh>
    <rPh sb="2" eb="4">
      <t>コンキョ</t>
    </rPh>
    <phoneticPr fontId="18"/>
  </si>
  <si>
    <t>備考</t>
    <rPh sb="0" eb="2">
      <t>ビコウ</t>
    </rPh>
    <phoneticPr fontId="18"/>
  </si>
  <si>
    <t>[注6]</t>
    <rPh sb="1" eb="2">
      <t>チュウ</t>
    </rPh>
    <phoneticPr fontId="18"/>
  </si>
  <si>
    <t>(２)</t>
    <phoneticPr fontId="1"/>
  </si>
  <si>
    <t>税率区分</t>
    <rPh sb="0" eb="2">
      <t>ゼイリツ</t>
    </rPh>
    <rPh sb="2" eb="4">
      <t>クブン</t>
    </rPh>
    <phoneticPr fontId="1"/>
  </si>
  <si>
    <t>非該当</t>
    <rPh sb="0" eb="1">
      <t>ヒ</t>
    </rPh>
    <rPh sb="1" eb="3">
      <t>ガイトウ</t>
    </rPh>
    <phoneticPr fontId="1"/>
  </si>
  <si>
    <t>(３)</t>
    <phoneticPr fontId="1"/>
  </si>
  <si>
    <t>(４)</t>
    <phoneticPr fontId="1"/>
  </si>
  <si>
    <t>資金調達内訳</t>
  </si>
  <si>
    <t>助成対象外経費の内訳</t>
  </si>
  <si>
    <t>(５)</t>
    <phoneticPr fontId="1"/>
  </si>
  <si>
    <t>個</t>
    <rPh sb="0" eb="1">
      <t>コ</t>
    </rPh>
    <phoneticPr fontId="1"/>
  </si>
  <si>
    <t>　助成対象</t>
    <rPh sb="1" eb="3">
      <t>ジョセイ</t>
    </rPh>
    <rPh sb="3" eb="5">
      <t>タイショウ</t>
    </rPh>
    <phoneticPr fontId="1"/>
  </si>
  <si>
    <t>　助成金交付</t>
    <rPh sb="1" eb="4">
      <t>ジョセイキン</t>
    </rPh>
    <rPh sb="4" eb="6">
      <t>コウフ</t>
    </rPh>
    <phoneticPr fontId="1"/>
  </si>
  <si>
    <t>単位</t>
    <rPh sb="0" eb="2">
      <t>タンイ</t>
    </rPh>
    <phoneticPr fontId="24"/>
  </si>
  <si>
    <t>項目</t>
    <rPh sb="0" eb="2">
      <t>コウモク</t>
    </rPh>
    <phoneticPr fontId="24"/>
  </si>
  <si>
    <t>投資実行期</t>
    <rPh sb="0" eb="2">
      <t>トウシ</t>
    </rPh>
    <rPh sb="2" eb="4">
      <t>ジッコウ</t>
    </rPh>
    <rPh sb="4" eb="5">
      <t>キ</t>
    </rPh>
    <phoneticPr fontId="24"/>
  </si>
  <si>
    <t>投資回収期</t>
    <rPh sb="0" eb="2">
      <t>トウシ</t>
    </rPh>
    <rPh sb="2" eb="4">
      <t>カイシュウ</t>
    </rPh>
    <rPh sb="4" eb="5">
      <t>キ</t>
    </rPh>
    <phoneticPr fontId="24"/>
  </si>
  <si>
    <t>①総資産</t>
    <rPh sb="1" eb="4">
      <t>ソウシサン</t>
    </rPh>
    <phoneticPr fontId="24"/>
  </si>
  <si>
    <t>②有利子負債</t>
    <rPh sb="1" eb="2">
      <t>ユウ</t>
    </rPh>
    <rPh sb="2" eb="4">
      <t>リシ</t>
    </rPh>
    <rPh sb="4" eb="6">
      <t>フサイ</t>
    </rPh>
    <phoneticPr fontId="18"/>
  </si>
  <si>
    <t>期首残高</t>
    <rPh sb="0" eb="2">
      <t>キシュ</t>
    </rPh>
    <rPh sb="2" eb="4">
      <t>ザンダカ</t>
    </rPh>
    <phoneticPr fontId="24"/>
  </si>
  <si>
    <t>期中増減</t>
    <rPh sb="0" eb="2">
      <t>キチュウ</t>
    </rPh>
    <rPh sb="2" eb="4">
      <t>ゾウゲン</t>
    </rPh>
    <phoneticPr fontId="24"/>
  </si>
  <si>
    <t>期末残高</t>
    <rPh sb="0" eb="2">
      <t>キマツ</t>
    </rPh>
    <rPh sb="2" eb="4">
      <t>ザンダカ</t>
    </rPh>
    <phoneticPr fontId="24"/>
  </si>
  <si>
    <t>③自己資本</t>
    <rPh sb="1" eb="3">
      <t>ジコ</t>
    </rPh>
    <rPh sb="3" eb="5">
      <t>シホン</t>
    </rPh>
    <phoneticPr fontId="24"/>
  </si>
  <si>
    <t>④売上高</t>
    <rPh sb="1" eb="3">
      <t>ウリアゲ</t>
    </rPh>
    <rPh sb="3" eb="4">
      <t>ダカ</t>
    </rPh>
    <phoneticPr fontId="24"/>
  </si>
  <si>
    <t>うち助成事業</t>
    <rPh sb="2" eb="4">
      <t>ジョセイ</t>
    </rPh>
    <rPh sb="4" eb="6">
      <t>ジギョウ</t>
    </rPh>
    <phoneticPr fontId="24"/>
  </si>
  <si>
    <t>⑤減価償却費</t>
    <rPh sb="1" eb="3">
      <t>ゲンカ</t>
    </rPh>
    <rPh sb="3" eb="5">
      <t>ショウキャク</t>
    </rPh>
    <rPh sb="5" eb="6">
      <t>ヒ</t>
    </rPh>
    <phoneticPr fontId="24"/>
  </si>
  <si>
    <t>うち助成事業（a）</t>
    <rPh sb="2" eb="4">
      <t>ジョセイ</t>
    </rPh>
    <rPh sb="4" eb="6">
      <t>ジギョウ</t>
    </rPh>
    <phoneticPr fontId="24"/>
  </si>
  <si>
    <t>⑥営業利益</t>
    <rPh sb="1" eb="3">
      <t>エイギョウ</t>
    </rPh>
    <rPh sb="3" eb="5">
      <t>リエキ</t>
    </rPh>
    <phoneticPr fontId="24"/>
  </si>
  <si>
    <t>うち助成事業（b）</t>
    <rPh sb="2" eb="4">
      <t>ジョセイ</t>
    </rPh>
    <rPh sb="4" eb="6">
      <t>ジギョウ</t>
    </rPh>
    <phoneticPr fontId="24"/>
  </si>
  <si>
    <t>助成事業に要する経費（税込）
（ｃ）</t>
    <rPh sb="0" eb="2">
      <t>ジョセイ</t>
    </rPh>
    <rPh sb="2" eb="4">
      <t>ジギョウ</t>
    </rPh>
    <rPh sb="5" eb="6">
      <t>ヨウ</t>
    </rPh>
    <rPh sb="8" eb="10">
      <t>ケイヒ</t>
    </rPh>
    <rPh sb="11" eb="13">
      <t>ゼイコミ</t>
    </rPh>
    <phoneticPr fontId="24"/>
  </si>
  <si>
    <t>助成事業によるキャッシュフロー
（ｄ＝ａ＋ｂ）</t>
    <rPh sb="0" eb="2">
      <t>ジョセイ</t>
    </rPh>
    <rPh sb="2" eb="4">
      <t>ジギョウ</t>
    </rPh>
    <phoneticPr fontId="24"/>
  </si>
  <si>
    <t>投資未回収額（ｅ＝ｃ－ｄ）</t>
    <rPh sb="0" eb="2">
      <t>トウシ</t>
    </rPh>
    <rPh sb="2" eb="5">
      <t>ミカイシュウ</t>
    </rPh>
    <rPh sb="5" eb="6">
      <t>ガク</t>
    </rPh>
    <phoneticPr fontId="24"/>
  </si>
  <si>
    <t>機械設備の法定耐用年数
※　複数基ある場合は最長のもの</t>
    <rPh sb="0" eb="2">
      <t>キカイ</t>
    </rPh>
    <rPh sb="2" eb="4">
      <t>セツビ</t>
    </rPh>
    <rPh sb="5" eb="7">
      <t>ホウテイ</t>
    </rPh>
    <rPh sb="7" eb="9">
      <t>タイヨウ</t>
    </rPh>
    <rPh sb="9" eb="11">
      <t>ネンスウ</t>
    </rPh>
    <rPh sb="14" eb="16">
      <t>フクスウ</t>
    </rPh>
    <rPh sb="16" eb="17">
      <t>キ</t>
    </rPh>
    <rPh sb="19" eb="21">
      <t>バアイ</t>
    </rPh>
    <rPh sb="22" eb="24">
      <t>サイチョウ</t>
    </rPh>
    <phoneticPr fontId="24"/>
  </si>
  <si>
    <t>年</t>
    <rPh sb="0" eb="1">
      <t>ネン</t>
    </rPh>
    <phoneticPr fontId="24"/>
  </si>
  <si>
    <t>期目</t>
    <rPh sb="0" eb="2">
      <t>キメ</t>
    </rPh>
    <phoneticPr fontId="24"/>
  </si>
  <si>
    <t>投資回収期間</t>
    <rPh sb="0" eb="2">
      <t>トウシ</t>
    </rPh>
    <rPh sb="2" eb="4">
      <t>カイシュウ</t>
    </rPh>
    <rPh sb="4" eb="6">
      <t>キカン</t>
    </rPh>
    <phoneticPr fontId="24"/>
  </si>
  <si>
    <t>⑦人件費</t>
    <rPh sb="1" eb="4">
      <t>ジンケンヒ</t>
    </rPh>
    <phoneticPr fontId="24"/>
  </si>
  <si>
    <t>⑧付加価値額
（⑤+⑥+⑦）</t>
    <rPh sb="1" eb="3">
      <t>フカ</t>
    </rPh>
    <rPh sb="3" eb="5">
      <t>カチ</t>
    </rPh>
    <rPh sb="5" eb="6">
      <t>ガク</t>
    </rPh>
    <phoneticPr fontId="24"/>
  </si>
  <si>
    <t>⑨従業員数</t>
    <rPh sb="1" eb="4">
      <t>ジュウギョウイン</t>
    </rPh>
    <rPh sb="4" eb="5">
      <t>スウ</t>
    </rPh>
    <phoneticPr fontId="24"/>
  </si>
  <si>
    <t>設備投資後</t>
    <rPh sb="0" eb="2">
      <t>セツビ</t>
    </rPh>
    <rPh sb="2" eb="4">
      <t>トウシ</t>
    </rPh>
    <rPh sb="4" eb="5">
      <t>ゴ</t>
    </rPh>
    <phoneticPr fontId="18"/>
  </si>
  <si>
    <t>３年後</t>
    <rPh sb="1" eb="3">
      <t>ネンゴ</t>
    </rPh>
    <phoneticPr fontId="18"/>
  </si>
  <si>
    <t>４年後</t>
    <rPh sb="1" eb="3">
      <t>ネンゴ</t>
    </rPh>
    <phoneticPr fontId="18"/>
  </si>
  <si>
    <t>５年後</t>
    <rPh sb="1" eb="3">
      <t>ネンゴ</t>
    </rPh>
    <phoneticPr fontId="18"/>
  </si>
  <si>
    <t>一人当たりの付加価値額の伸び率</t>
    <rPh sb="0" eb="2">
      <t>ヒトリ</t>
    </rPh>
    <rPh sb="2" eb="3">
      <t>ア</t>
    </rPh>
    <rPh sb="6" eb="8">
      <t>フカ</t>
    </rPh>
    <rPh sb="8" eb="10">
      <t>カチ</t>
    </rPh>
    <rPh sb="10" eb="11">
      <t>ガク</t>
    </rPh>
    <rPh sb="12" eb="13">
      <t>ノ</t>
    </rPh>
    <rPh sb="14" eb="15">
      <t>リツ</t>
    </rPh>
    <phoneticPr fontId="24"/>
  </si>
  <si>
    <t>判定</t>
    <rPh sb="0" eb="2">
      <t>ハンテイ</t>
    </rPh>
    <phoneticPr fontId="24"/>
  </si>
  <si>
    <t>⑩一人当たりの付加価値額　（⑧÷⑨）</t>
    <rPh sb="1" eb="3">
      <t>ヒトリ</t>
    </rPh>
    <rPh sb="3" eb="4">
      <t>ア</t>
    </rPh>
    <rPh sb="7" eb="9">
      <t>フカ</t>
    </rPh>
    <rPh sb="9" eb="11">
      <t>カチ</t>
    </rPh>
    <rPh sb="11" eb="12">
      <t>ガク</t>
    </rPh>
    <phoneticPr fontId="24"/>
  </si>
  <si>
    <t>・助成金交付</t>
    <phoneticPr fontId="1"/>
  </si>
  <si>
    <t>申請額</t>
    <phoneticPr fontId="1"/>
  </si>
  <si>
    <t>機械設備に係る計画等</t>
  </si>
  <si>
    <t xml:space="preserve"> 設置場所の詳細</t>
    <rPh sb="1" eb="3">
      <t>セッチ</t>
    </rPh>
    <rPh sb="3" eb="5">
      <t>バショ</t>
    </rPh>
    <rPh sb="6" eb="8">
      <t>ショウサイ</t>
    </rPh>
    <phoneticPr fontId="1"/>
  </si>
  <si>
    <t>①</t>
    <phoneticPr fontId="1"/>
  </si>
  <si>
    <t>②</t>
    <phoneticPr fontId="1"/>
  </si>
  <si>
    <t>③</t>
    <phoneticPr fontId="1"/>
  </si>
  <si>
    <t>下限額
100
万円</t>
    <phoneticPr fontId="1"/>
  </si>
  <si>
    <t>交通機関補足ｺﾒﾝﾄ：</t>
    <rPh sb="0" eb="2">
      <t>コウツウ</t>
    </rPh>
    <rPh sb="2" eb="4">
      <t>キカン</t>
    </rPh>
    <rPh sb="4" eb="6">
      <t>ホソク</t>
    </rPh>
    <phoneticPr fontId="1"/>
  </si>
  <si>
    <t>同一
設備</t>
    <rPh sb="0" eb="2">
      <t>ドウイツ</t>
    </rPh>
    <rPh sb="3" eb="5">
      <t>セツビ</t>
    </rPh>
    <phoneticPr fontId="1"/>
  </si>
  <si>
    <t>事業区分／申請者区分（該当区分を１つ選択して○印をつけてください）</t>
    <rPh sb="0" eb="2">
      <t>ジギョウ</t>
    </rPh>
    <rPh sb="2" eb="4">
      <t>クブン</t>
    </rPh>
    <rPh sb="5" eb="8">
      <t>シンセイシャ</t>
    </rPh>
    <rPh sb="8" eb="10">
      <t>クブン</t>
    </rPh>
    <rPh sb="13" eb="15">
      <t>クブン</t>
    </rPh>
    <phoneticPr fontId="1"/>
  </si>
  <si>
    <t>Ⅰ</t>
    <phoneticPr fontId="1"/>
  </si>
  <si>
    <t>Ⅱ</t>
    <phoneticPr fontId="1"/>
  </si>
  <si>
    <t>Ⅲ</t>
    <phoneticPr fontId="1"/>
  </si>
  <si>
    <t>助成率１/２以内・助成限度額１億円</t>
    <phoneticPr fontId="1"/>
  </si>
  <si>
    <t>助成率２/３以内・助成限度額１億円</t>
    <phoneticPr fontId="1"/>
  </si>
  <si>
    <t>助成率２/３以内・助成限度額１億円</t>
    <phoneticPr fontId="1"/>
  </si>
  <si>
    <t>（和暦）令和</t>
    <rPh sb="1" eb="3">
      <t>ワレキ</t>
    </rPh>
    <rPh sb="4" eb="6">
      <t>レイワ</t>
    </rPh>
    <phoneticPr fontId="1"/>
  </si>
  <si>
    <t>〒</t>
    <phoneticPr fontId="1"/>
  </si>
  <si>
    <t>B　漁業</t>
  </si>
  <si>
    <t>D　建設業</t>
  </si>
  <si>
    <t>E　製造業</t>
  </si>
  <si>
    <t>F　電気・ガス・熱供給・水道業</t>
  </si>
  <si>
    <t>G　情報通信業</t>
  </si>
  <si>
    <t>Q　複合サービス事業</t>
  </si>
  <si>
    <t>R　サービス業（他に分類されないもの）</t>
  </si>
  <si>
    <t>S　公務（他に分類されるものを除く）</t>
  </si>
  <si>
    <t>T　分類不能の産業</t>
  </si>
  <si>
    <t>業種（大分類）:</t>
    <phoneticPr fontId="1"/>
  </si>
  <si>
    <t>業種コード（２桁）:</t>
    <rPh sb="7" eb="8">
      <t>ケタ</t>
    </rPh>
    <phoneticPr fontId="1"/>
  </si>
  <si>
    <t>01</t>
  </si>
  <si>
    <t>農業</t>
  </si>
  <si>
    <t>02</t>
  </si>
  <si>
    <t>林業</t>
  </si>
  <si>
    <t>漁業（水産養殖業を除く）</t>
  </si>
  <si>
    <t>04</t>
  </si>
  <si>
    <t>水産養殖業</t>
  </si>
  <si>
    <t>05</t>
  </si>
  <si>
    <t>06</t>
  </si>
  <si>
    <t>総合工事業</t>
  </si>
  <si>
    <t>07</t>
  </si>
  <si>
    <t>08</t>
  </si>
  <si>
    <t>設備工事業</t>
  </si>
  <si>
    <t>09</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</si>
  <si>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</si>
  <si>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</si>
  <si>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</si>
  <si>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</si>
  <si>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</si>
  <si>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</si>
  <si>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</si>
  <si>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</si>
  <si>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</si>
  <si>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</si>
  <si>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</si>
  <si>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</si>
  <si>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</si>
  <si>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</si>
  <si>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</si>
  <si>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</si>
  <si>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</si>
  <si>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</si>
  <si>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</si>
  <si>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</si>
  <si>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</si>
  <si>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</si>
  <si>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</si>
  <si>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</si>
  <si>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</si>
  <si>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</si>
  <si>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</si>
  <si>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</si>
  <si>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</si>
  <si>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</si>
  <si>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</si>
  <si>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</si>
  <si>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</si>
  <si>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映像情報制作・配給業</t>
  </si>
  <si>
    <t>音声情報制作業</t>
  </si>
  <si>
    <t>新聞業</t>
  </si>
  <si>
    <t>出版業</t>
  </si>
  <si>
    <t>広告制作業</t>
  </si>
  <si>
    <t>映像・音声・文字情報制作に附帯するサービス業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</si>
  <si>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</si>
  <si>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</si>
  <si>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</si>
  <si>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</si>
  <si>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</si>
  <si>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</si>
  <si>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</si>
  <si>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</si>
  <si>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</si>
  <si>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</si>
  <si>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</si>
  <si>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</si>
  <si>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</si>
  <si>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</si>
  <si>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</si>
  <si>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</si>
  <si>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</si>
  <si>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</si>
  <si>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</si>
  <si>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</si>
  <si>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</si>
  <si>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補助的金融業等</t>
  </si>
  <si>
    <t>保険業（保険媒介代理業，保険サービス業を含む）</t>
  </si>
  <si>
    <t>不動産取引業</t>
  </si>
  <si>
    <t>不動産賃貸業・管理業</t>
  </si>
  <si>
    <t>不動産賃貸業（貸家業，貸間業を除く）</t>
  </si>
  <si>
    <t>駐車場業</t>
  </si>
  <si>
    <t>不動産管理業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</si>
  <si>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</si>
  <si>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</si>
  <si>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</si>
  <si>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</si>
  <si>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</si>
  <si>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</si>
  <si>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</si>
  <si>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</si>
  <si>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</si>
  <si>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</si>
  <si>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</si>
  <si>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</si>
  <si>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</si>
  <si>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</si>
  <si>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</si>
  <si>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</si>
  <si>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</si>
  <si>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</si>
  <si>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</si>
  <si>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</si>
  <si>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</si>
  <si>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</si>
  <si>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</si>
  <si>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</si>
  <si>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</si>
  <si>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</si>
  <si>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</si>
  <si>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</si>
  <si>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分類不能の産業</t>
  </si>
  <si>
    <t>03</t>
    <phoneticPr fontId="1"/>
  </si>
  <si>
    <t>常用従業員数
ﾁｪｯｸ結果</t>
    <rPh sb="0" eb="2">
      <t>ジョウヨウ</t>
    </rPh>
    <rPh sb="2" eb="5">
      <t>ジュウギョウイン</t>
    </rPh>
    <rPh sb="5" eb="6">
      <t>スウ</t>
    </rPh>
    <rPh sb="11" eb="13">
      <t>ケッカ</t>
    </rPh>
    <phoneticPr fontId="1"/>
  </si>
  <si>
    <t>該当</t>
    <rPh sb="0" eb="2">
      <t>ガイトウ</t>
    </rPh>
    <phoneticPr fontId="1"/>
  </si>
  <si>
    <t>東京都</t>
    <rPh sb="0" eb="3">
      <t>トウキョウト</t>
    </rPh>
    <phoneticPr fontId="1"/>
  </si>
  <si>
    <t>神奈川県</t>
    <rPh sb="0" eb="4">
      <t>カナガワケン</t>
    </rPh>
    <phoneticPr fontId="1"/>
  </si>
  <si>
    <t>埼玉県</t>
    <rPh sb="0" eb="3">
      <t>サイタマケン</t>
    </rPh>
    <phoneticPr fontId="1"/>
  </si>
  <si>
    <t>千葉県</t>
    <rPh sb="0" eb="3">
      <t>チバケン</t>
    </rPh>
    <phoneticPr fontId="1"/>
  </si>
  <si>
    <t>群馬県</t>
    <rPh sb="0" eb="3">
      <t>グンマケン</t>
    </rPh>
    <phoneticPr fontId="1"/>
  </si>
  <si>
    <t>栃木県</t>
    <rPh sb="0" eb="3">
      <t>トチギケン</t>
    </rPh>
    <phoneticPr fontId="1"/>
  </si>
  <si>
    <t>山梨県</t>
    <rPh sb="0" eb="3">
      <t>ヤマナシケン</t>
    </rPh>
    <phoneticPr fontId="1"/>
  </si>
  <si>
    <t>器具備品</t>
    <rPh sb="0" eb="2">
      <t>キグ</t>
    </rPh>
    <rPh sb="2" eb="4">
      <t>ビヒン</t>
    </rPh>
    <phoneticPr fontId="1"/>
  </si>
  <si>
    <t>業種コード一覧</t>
    <rPh sb="0" eb="2">
      <t>ギョウシュ</t>
    </rPh>
    <rPh sb="5" eb="7">
      <t>イチラン</t>
    </rPh>
    <phoneticPr fontId="1"/>
  </si>
  <si>
    <t>★［消費税率10%適用のみ］</t>
    <rPh sb="2" eb="5">
      <t>ショウヒゼイ</t>
    </rPh>
    <rPh sb="5" eb="6">
      <t>リツ</t>
    </rPh>
    <rPh sb="9" eb="11">
      <t>テキヨウ</t>
    </rPh>
    <phoneticPr fontId="1"/>
  </si>
  <si>
    <t>・［消費税率10%適用のみ］（日本国内の取引き）の場合は下記のチェック欄［該当］を選択ください。</t>
    <rPh sb="2" eb="5">
      <t>ショウヒゼイ</t>
    </rPh>
    <rPh sb="5" eb="6">
      <t>リツ</t>
    </rPh>
    <rPh sb="9" eb="11">
      <t>テキヨウ</t>
    </rPh>
    <rPh sb="25" eb="27">
      <t>バアイ</t>
    </rPh>
    <rPh sb="28" eb="30">
      <t>カキ</t>
    </rPh>
    <rPh sb="35" eb="36">
      <t>ラン</t>
    </rPh>
    <rPh sb="37" eb="39">
      <t>ガイトウ</t>
    </rPh>
    <rPh sb="41" eb="43">
      <t>センタク</t>
    </rPh>
    <phoneticPr fontId="1"/>
  </si>
  <si>
    <t>百万円</t>
    <rPh sb="0" eb="3">
      <t>ヒャクマンエン</t>
    </rPh>
    <phoneticPr fontId="1"/>
  </si>
  <si>
    <t>設置
場所
の
名称</t>
    <rPh sb="0" eb="2">
      <t>セッチ</t>
    </rPh>
    <rPh sb="3" eb="5">
      <t>バショ</t>
    </rPh>
    <rPh sb="8" eb="10">
      <t>メイショウ</t>
    </rPh>
    <phoneticPr fontId="1"/>
  </si>
  <si>
    <t>(1)</t>
    <phoneticPr fontId="1"/>
  </si>
  <si>
    <t>(2)</t>
    <phoneticPr fontId="1"/>
  </si>
  <si>
    <t>（賃貸借契約予定：</t>
    <rPh sb="1" eb="4">
      <t>チンタイシャク</t>
    </rPh>
    <rPh sb="4" eb="6">
      <t>ケイヤク</t>
    </rPh>
    <rPh sb="6" eb="8">
      <t>ヨテイ</t>
    </rPh>
    <phoneticPr fontId="1"/>
  </si>
  <si>
    <t>未定</t>
    <rPh sb="0" eb="2">
      <t>ミテイ</t>
    </rPh>
    <phoneticPr fontId="1"/>
  </si>
  <si>
    <t>交渉中</t>
    <rPh sb="0" eb="3">
      <t>コウショウチュウ</t>
    </rPh>
    <phoneticPr fontId="1"/>
  </si>
  <si>
    <t>内諾済み</t>
    <rPh sb="0" eb="2">
      <t>ナイダク</t>
    </rPh>
    <rPh sb="2" eb="3">
      <t>ズ</t>
    </rPh>
    <phoneticPr fontId="1"/>
  </si>
  <si>
    <t>正式決定</t>
    <rPh sb="0" eb="2">
      <t>セイシキ</t>
    </rPh>
    <rPh sb="2" eb="4">
      <t>ケッテイ</t>
    </rPh>
    <phoneticPr fontId="1"/>
  </si>
  <si>
    <t>検討中</t>
    <rPh sb="0" eb="3">
      <t>ケントウチュウ</t>
    </rPh>
    <phoneticPr fontId="1"/>
  </si>
  <si>
    <t>自由コメント</t>
    <rPh sb="0" eb="2">
      <t>ジユウ</t>
    </rPh>
    <phoneticPr fontId="1"/>
  </si>
  <si>
    <t>商業・サービス業</t>
    <rPh sb="0" eb="2">
      <t>ショウギョウ</t>
    </rPh>
    <rPh sb="7" eb="8">
      <t>ギョウ</t>
    </rPh>
    <phoneticPr fontId="1"/>
  </si>
  <si>
    <t>01</t>
    <phoneticPr fontId="1"/>
  </si>
  <si>
    <t>製造業・その他</t>
    <rPh sb="0" eb="3">
      <t>セイゾウギョウ</t>
    </rPh>
    <rPh sb="6" eb="7">
      <t>タ</t>
    </rPh>
    <phoneticPr fontId="1"/>
  </si>
  <si>
    <t>(うち大企業からの
出資)　　</t>
    <rPh sb="3" eb="6">
      <t>ダイキギョウ</t>
    </rPh>
    <rPh sb="10" eb="12">
      <t>シュッシ</t>
    </rPh>
    <phoneticPr fontId="1"/>
  </si>
  <si>
    <t>○</t>
    <phoneticPr fontId="1"/>
  </si>
  <si>
    <t>7)</t>
  </si>
  <si>
    <t>（70%以上となる株主数が多い場合はその他に記入し且つその内訳けを別紙一覧表として提出ください）</t>
    <rPh sb="4" eb="6">
      <t>イジョウ</t>
    </rPh>
    <rPh sb="9" eb="11">
      <t>カブヌシ</t>
    </rPh>
    <rPh sb="11" eb="12">
      <t>スウ</t>
    </rPh>
    <rPh sb="13" eb="14">
      <t>オオ</t>
    </rPh>
    <rPh sb="15" eb="17">
      <t>バアイ</t>
    </rPh>
    <rPh sb="20" eb="21">
      <t>タ</t>
    </rPh>
    <rPh sb="22" eb="24">
      <t>キニュウ</t>
    </rPh>
    <rPh sb="25" eb="26">
      <t>カ</t>
    </rPh>
    <rPh sb="29" eb="31">
      <t>ウチワケ</t>
    </rPh>
    <rPh sb="33" eb="35">
      <t>ベッシ</t>
    </rPh>
    <rPh sb="35" eb="37">
      <t>イチラン</t>
    </rPh>
    <rPh sb="37" eb="38">
      <t>ヒョウ</t>
    </rPh>
    <rPh sb="41" eb="43">
      <t>テイシュツ</t>
    </rPh>
    <phoneticPr fontId="1"/>
  </si>
  <si>
    <t>・８名を超える場合は右欄へ記入ください。
・履歴事項全部証明書（登記簿謄本）と異なる場合は、その理由を右欄へ記載ください。</t>
    <rPh sb="51" eb="52">
      <t>ミギ</t>
    </rPh>
    <rPh sb="52" eb="53">
      <t>ラン</t>
    </rPh>
    <phoneticPr fontId="1"/>
  </si>
  <si>
    <t>10</t>
    <phoneticPr fontId="1"/>
  </si>
  <si>
    <t>「（3）経費区分別内訳」の「助成対象外経費」の内容・積算根拠等について簡潔に記載してください。本欄の合計金額が「（3）経費区分別内訳」の「助成対象外経費」へ転記（自動反映）されます。</t>
    <rPh sb="47" eb="48">
      <t>ホン</t>
    </rPh>
    <rPh sb="48" eb="49">
      <t>ラン</t>
    </rPh>
    <rPh sb="50" eb="52">
      <t>ゴウケイ</t>
    </rPh>
    <rPh sb="52" eb="54">
      <t>キンガク</t>
    </rPh>
    <rPh sb="78" eb="80">
      <t>テンキ</t>
    </rPh>
    <rPh sb="81" eb="83">
      <t>ジドウ</t>
    </rPh>
    <rPh sb="83" eb="85">
      <t>ハンエイ</t>
    </rPh>
    <phoneticPr fontId="18"/>
  </si>
  <si>
    <t>Ｄ：イノベーション　助成率2/3以内</t>
    <rPh sb="10" eb="12">
      <t>ジョセイ</t>
    </rPh>
    <rPh sb="12" eb="13">
      <t>リツ</t>
    </rPh>
    <rPh sb="16" eb="18">
      <t>イナイ</t>
    </rPh>
    <phoneticPr fontId="18"/>
  </si>
  <si>
    <t>Ｅ：後継者チャレンジ　助成率2/3以内</t>
    <rPh sb="2" eb="5">
      <t>コウケイシャ</t>
    </rPh>
    <phoneticPr fontId="18"/>
  </si>
  <si>
    <t>(１)</t>
    <phoneticPr fontId="1"/>
  </si>
  <si>
    <t>[注4]</t>
    <rPh sb="1" eb="2">
      <t>チュウ</t>
    </rPh>
    <phoneticPr fontId="1"/>
  </si>
  <si>
    <r>
      <t xml:space="preserve">単価
</t>
    </r>
    <r>
      <rPr>
        <sz val="10"/>
        <color theme="1"/>
        <rFont val="ＭＳ 明朝"/>
        <family val="1"/>
        <charset val="128"/>
      </rPr>
      <t>(税抜額・円)</t>
    </r>
    <rPh sb="0" eb="2">
      <t>タンカ</t>
    </rPh>
    <rPh sb="4" eb="5">
      <t>ゼイ</t>
    </rPh>
    <rPh sb="5" eb="6">
      <t>ヌ</t>
    </rPh>
    <rPh sb="6" eb="7">
      <t>ガク</t>
    </rPh>
    <rPh sb="8" eb="9">
      <t>エン</t>
    </rPh>
    <phoneticPr fontId="1"/>
  </si>
  <si>
    <t>その他　　</t>
    <rPh sb="2" eb="3">
      <t>タ</t>
    </rPh>
    <phoneticPr fontId="1"/>
  </si>
  <si>
    <r>
      <t>名</t>
    </r>
    <r>
      <rPr>
        <sz val="8"/>
        <color theme="1"/>
        <rFont val="游ゴシック"/>
        <family val="3"/>
        <charset val="128"/>
        <scheme val="minor"/>
      </rPr>
      <t>（70%以上まで書ききれない場合は内訳別紙を提出ください）</t>
    </r>
    <phoneticPr fontId="1"/>
  </si>
  <si>
    <t>02</t>
    <phoneticPr fontId="1"/>
  </si>
  <si>
    <t>04</t>
    <phoneticPr fontId="1"/>
  </si>
  <si>
    <t>05</t>
    <phoneticPr fontId="1"/>
  </si>
  <si>
    <t>06</t>
    <phoneticPr fontId="1"/>
  </si>
  <si>
    <t>07</t>
    <phoneticPr fontId="1"/>
  </si>
  <si>
    <t>08</t>
    <phoneticPr fontId="1"/>
  </si>
  <si>
    <t>09</t>
    <phoneticPr fontId="1"/>
  </si>
  <si>
    <t>電子部品・デバイス・電子回路製造業</t>
    <phoneticPr fontId="1"/>
  </si>
  <si>
    <t>茨城県</t>
    <rPh sb="0" eb="3">
      <t>イバラキケン</t>
    </rPh>
    <phoneticPr fontId="1"/>
  </si>
  <si>
    <t>神奈川県、埼玉県、千葉県、群馬県</t>
    <rPh sb="0" eb="4">
      <t>カナガワケン</t>
    </rPh>
    <rPh sb="5" eb="8">
      <t>サイタマケン</t>
    </rPh>
    <rPh sb="9" eb="12">
      <t>チバケン</t>
    </rPh>
    <rPh sb="13" eb="16">
      <t>グンマケン</t>
    </rPh>
    <phoneticPr fontId="1"/>
  </si>
  <si>
    <t>栃木県、茨城県、山梨県</t>
    <phoneticPr fontId="1"/>
  </si>
  <si>
    <t>都外設置可否</t>
    <rPh sb="0" eb="1">
      <t>ト</t>
    </rPh>
    <rPh sb="1" eb="2">
      <t>ガイ</t>
    </rPh>
    <rPh sb="2" eb="4">
      <t>セッチ</t>
    </rPh>
    <rPh sb="4" eb="6">
      <t>カヒ</t>
    </rPh>
    <phoneticPr fontId="1"/>
  </si>
  <si>
    <t>機械導入年月</t>
    <phoneticPr fontId="1"/>
  </si>
  <si>
    <t>支払予定年月</t>
    <phoneticPr fontId="1"/>
  </si>
  <si>
    <t>助成対象経費
(税抜額・円)</t>
    <rPh sb="0" eb="2">
      <t>ジョセイ</t>
    </rPh>
    <rPh sb="2" eb="4">
      <t>タイショウ</t>
    </rPh>
    <rPh sb="4" eb="6">
      <t>ケイヒ</t>
    </rPh>
    <rPh sb="8" eb="9">
      <t>ゼイ</t>
    </rPh>
    <rPh sb="9" eb="10">
      <t>ヌ</t>
    </rPh>
    <rPh sb="10" eb="11">
      <t>ガク</t>
    </rPh>
    <rPh sb="12" eb="13">
      <t>エン</t>
    </rPh>
    <phoneticPr fontId="1"/>
  </si>
  <si>
    <t>※事業区分</t>
    <phoneticPr fontId="1"/>
  </si>
  <si>
    <t>×</t>
    <phoneticPr fontId="1"/>
  </si>
  <si>
    <r>
      <t xml:space="preserve">設置場所の住所
</t>
    </r>
    <r>
      <rPr>
        <sz val="9"/>
        <color theme="1"/>
        <rFont val="ＭＳ 明朝"/>
        <family val="1"/>
        <charset val="128"/>
      </rPr>
      <t>（都県はﾄﾞﾛｯﾌﾟﾀﾞｳﾝﾘｽﾄ▼から選択）</t>
    </r>
    <rPh sb="0" eb="2">
      <t>セッチ</t>
    </rPh>
    <rPh sb="2" eb="4">
      <t>バショ</t>
    </rPh>
    <rPh sb="5" eb="7">
      <t>ジュウショ</t>
    </rPh>
    <rPh sb="9" eb="11">
      <t>トケン</t>
    </rPh>
    <rPh sb="28" eb="30">
      <t>センタク</t>
    </rPh>
    <phoneticPr fontId="1"/>
  </si>
  <si>
    <r>
      <t>株主名簿（基準日現在）</t>
    </r>
    <r>
      <rPr>
        <b/>
        <sz val="9"/>
        <color theme="1"/>
        <rFont val="ＭＳ ゴシック"/>
        <family val="3"/>
        <charset val="128"/>
      </rPr>
      <t>持ち株比率70％以上となるまで株主名は原則列挙ください</t>
    </r>
    <rPh sb="0" eb="2">
      <t>カブヌシ</t>
    </rPh>
    <rPh sb="2" eb="4">
      <t>メイボ</t>
    </rPh>
    <rPh sb="5" eb="8">
      <t>キジュンビ</t>
    </rPh>
    <rPh sb="8" eb="10">
      <t>ゲンザイ</t>
    </rPh>
    <rPh sb="11" eb="12">
      <t>モ</t>
    </rPh>
    <rPh sb="13" eb="14">
      <t>カブ</t>
    </rPh>
    <rPh sb="14" eb="16">
      <t>ヒリツ</t>
    </rPh>
    <rPh sb="19" eb="21">
      <t>イジョウ</t>
    </rPh>
    <rPh sb="26" eb="28">
      <t>カブヌシ</t>
    </rPh>
    <rPh sb="28" eb="29">
      <t>メイ</t>
    </rPh>
    <rPh sb="30" eb="32">
      <t>ゲンソク</t>
    </rPh>
    <rPh sb="32" eb="34">
      <t>レッキョ</t>
    </rPh>
    <phoneticPr fontId="1"/>
  </si>
  <si>
    <t>イノベーション</t>
    <phoneticPr fontId="1"/>
  </si>
  <si>
    <t>Ⅳ</t>
    <phoneticPr fontId="1"/>
  </si>
  <si>
    <t>ＤＸ推進</t>
    <phoneticPr fontId="1"/>
  </si>
  <si>
    <r>
      <t>加点措置適用の有無</t>
    </r>
    <r>
      <rPr>
        <b/>
        <sz val="10"/>
        <color theme="1"/>
        <rFont val="ＭＳ ゴシック"/>
        <family val="3"/>
        <charset val="128"/>
      </rPr>
      <t>（適用有りを希望する場合には「〇」印を選択してください）</t>
    </r>
    <rPh sb="0" eb="2">
      <t>カテン</t>
    </rPh>
    <rPh sb="2" eb="4">
      <t>ソチ</t>
    </rPh>
    <rPh sb="4" eb="6">
      <t>テキヨウ</t>
    </rPh>
    <rPh sb="7" eb="9">
      <t>ウム</t>
    </rPh>
    <rPh sb="10" eb="12">
      <t>テキヨウ</t>
    </rPh>
    <rPh sb="12" eb="13">
      <t>ア</t>
    </rPh>
    <rPh sb="15" eb="17">
      <t>キボウ</t>
    </rPh>
    <rPh sb="19" eb="21">
      <t>バアイ</t>
    </rPh>
    <rPh sb="26" eb="27">
      <t>シルシ</t>
    </rPh>
    <rPh sb="28" eb="30">
      <t>センタク</t>
    </rPh>
    <phoneticPr fontId="1"/>
  </si>
  <si>
    <t>機械装置</t>
    <rPh sb="0" eb="2">
      <t>キカイ</t>
    </rPh>
    <rPh sb="2" eb="4">
      <t>ソウチ</t>
    </rPh>
    <phoneticPr fontId="1"/>
  </si>
  <si>
    <t>直前期</t>
    <rPh sb="0" eb="2">
      <t>チョクゼン</t>
    </rPh>
    <rPh sb="2" eb="3">
      <t>キ</t>
    </rPh>
    <phoneticPr fontId="24"/>
  </si>
  <si>
    <t>今　期</t>
    <rPh sb="0" eb="1">
      <t>イマ</t>
    </rPh>
    <rPh sb="2" eb="3">
      <t>キ</t>
    </rPh>
    <phoneticPr fontId="24"/>
  </si>
  <si>
    <t>２期目</t>
    <rPh sb="1" eb="2">
      <t>キ</t>
    </rPh>
    <rPh sb="2" eb="3">
      <t>メ</t>
    </rPh>
    <phoneticPr fontId="24"/>
  </si>
  <si>
    <t>３期目</t>
    <rPh sb="1" eb="2">
      <t>キ</t>
    </rPh>
    <rPh sb="2" eb="3">
      <t>メ</t>
    </rPh>
    <phoneticPr fontId="24"/>
  </si>
  <si>
    <t>４期目</t>
    <rPh sb="1" eb="2">
      <t>キ</t>
    </rPh>
    <rPh sb="2" eb="3">
      <t>メ</t>
    </rPh>
    <phoneticPr fontId="24"/>
  </si>
  <si>
    <t>５期目</t>
    <rPh sb="1" eb="2">
      <t>キ</t>
    </rPh>
    <rPh sb="2" eb="3">
      <t>メ</t>
    </rPh>
    <phoneticPr fontId="24"/>
  </si>
  <si>
    <t>６期目</t>
    <rPh sb="1" eb="2">
      <t>キ</t>
    </rPh>
    <rPh sb="2" eb="3">
      <t>メ</t>
    </rPh>
    <phoneticPr fontId="24"/>
  </si>
  <si>
    <t>７期目</t>
    <rPh sb="1" eb="2">
      <t>キ</t>
    </rPh>
    <rPh sb="2" eb="3">
      <t>メ</t>
    </rPh>
    <phoneticPr fontId="24"/>
  </si>
  <si>
    <t>８期目</t>
    <rPh sb="1" eb="2">
      <t>キ</t>
    </rPh>
    <rPh sb="2" eb="3">
      <t>メ</t>
    </rPh>
    <phoneticPr fontId="24"/>
  </si>
  <si>
    <t>９期目</t>
    <rPh sb="1" eb="2">
      <t>キ</t>
    </rPh>
    <rPh sb="2" eb="3">
      <t>メ</t>
    </rPh>
    <phoneticPr fontId="24"/>
  </si>
  <si>
    <t>１０期目</t>
    <rPh sb="2" eb="3">
      <t>キ</t>
    </rPh>
    <rPh sb="3" eb="4">
      <t>メ</t>
    </rPh>
    <phoneticPr fontId="24"/>
  </si>
  <si>
    <t>2019年</t>
    <rPh sb="4" eb="5">
      <t>ネン</t>
    </rPh>
    <phoneticPr fontId="1"/>
  </si>
  <si>
    <t>2020年</t>
    <rPh sb="4" eb="5">
      <t>ネン</t>
    </rPh>
    <phoneticPr fontId="1"/>
  </si>
  <si>
    <t>2021年</t>
    <rPh sb="4" eb="5">
      <t>ネン</t>
    </rPh>
    <phoneticPr fontId="1"/>
  </si>
  <si>
    <t>2022年</t>
    <rPh sb="4" eb="5">
      <t>ネン</t>
    </rPh>
    <phoneticPr fontId="1"/>
  </si>
  <si>
    <t>2023年</t>
    <rPh sb="4" eb="5">
      <t>ネン</t>
    </rPh>
    <phoneticPr fontId="1"/>
  </si>
  <si>
    <t>2024年</t>
    <rPh sb="4" eb="5">
      <t>ネン</t>
    </rPh>
    <phoneticPr fontId="1"/>
  </si>
  <si>
    <t>2025年</t>
    <rPh sb="4" eb="5">
      <t>ネン</t>
    </rPh>
    <phoneticPr fontId="1"/>
  </si>
  <si>
    <t>2026年</t>
    <rPh sb="4" eb="5">
      <t>ネン</t>
    </rPh>
    <phoneticPr fontId="1"/>
  </si>
  <si>
    <t>2027年</t>
    <rPh sb="4" eb="5">
      <t>ネン</t>
    </rPh>
    <phoneticPr fontId="1"/>
  </si>
  <si>
    <t>2028年</t>
    <rPh sb="4" eb="5">
      <t>ネン</t>
    </rPh>
    <phoneticPr fontId="1"/>
  </si>
  <si>
    <t>2029年</t>
    <rPh sb="4" eb="5">
      <t>ネン</t>
    </rPh>
    <phoneticPr fontId="1"/>
  </si>
  <si>
    <t>2030年</t>
    <rPh sb="4" eb="5">
      <t>ネン</t>
    </rPh>
    <phoneticPr fontId="1"/>
  </si>
  <si>
    <t>2031年</t>
    <rPh sb="4" eb="5">
      <t>ネン</t>
    </rPh>
    <phoneticPr fontId="1"/>
  </si>
  <si>
    <t>2032年</t>
    <rPh sb="4" eb="5">
      <t>ネン</t>
    </rPh>
    <phoneticPr fontId="1"/>
  </si>
  <si>
    <t>１月期</t>
    <rPh sb="1" eb="2">
      <t>ガツ</t>
    </rPh>
    <rPh sb="2" eb="3">
      <t>キ</t>
    </rPh>
    <phoneticPr fontId="1"/>
  </si>
  <si>
    <t>２月期</t>
    <rPh sb="1" eb="2">
      <t>ガツ</t>
    </rPh>
    <rPh sb="2" eb="3">
      <t>キ</t>
    </rPh>
    <phoneticPr fontId="1"/>
  </si>
  <si>
    <t>３月期</t>
    <rPh sb="1" eb="2">
      <t>ガツ</t>
    </rPh>
    <rPh sb="2" eb="3">
      <t>キ</t>
    </rPh>
    <phoneticPr fontId="1"/>
  </si>
  <si>
    <t>４月期</t>
    <rPh sb="1" eb="2">
      <t>ガツ</t>
    </rPh>
    <rPh sb="2" eb="3">
      <t>キ</t>
    </rPh>
    <phoneticPr fontId="1"/>
  </si>
  <si>
    <t>５月期</t>
    <rPh sb="1" eb="2">
      <t>ガツ</t>
    </rPh>
    <rPh sb="2" eb="3">
      <t>キ</t>
    </rPh>
    <phoneticPr fontId="1"/>
  </si>
  <si>
    <t>６月期</t>
    <rPh sb="1" eb="2">
      <t>ガツ</t>
    </rPh>
    <rPh sb="2" eb="3">
      <t>キ</t>
    </rPh>
    <phoneticPr fontId="1"/>
  </si>
  <si>
    <t>７月期</t>
    <rPh sb="1" eb="2">
      <t>ガツ</t>
    </rPh>
    <rPh sb="2" eb="3">
      <t>キ</t>
    </rPh>
    <phoneticPr fontId="1"/>
  </si>
  <si>
    <t>８月期</t>
    <rPh sb="1" eb="2">
      <t>ガツ</t>
    </rPh>
    <rPh sb="2" eb="3">
      <t>キ</t>
    </rPh>
    <phoneticPr fontId="1"/>
  </si>
  <si>
    <t>９月期</t>
    <rPh sb="1" eb="2">
      <t>ガツ</t>
    </rPh>
    <rPh sb="2" eb="3">
      <t>キ</t>
    </rPh>
    <phoneticPr fontId="1"/>
  </si>
  <si>
    <t>2033年</t>
    <rPh sb="4" eb="5">
      <t>ネン</t>
    </rPh>
    <phoneticPr fontId="1"/>
  </si>
  <si>
    <t>2034年</t>
    <rPh sb="4" eb="5">
      <t>ネン</t>
    </rPh>
    <phoneticPr fontId="1"/>
  </si>
  <si>
    <t>2035年</t>
    <rPh sb="4" eb="5">
      <t>ネン</t>
    </rPh>
    <phoneticPr fontId="1"/>
  </si>
  <si>
    <t>2036年</t>
    <rPh sb="4" eb="5">
      <t>ネン</t>
    </rPh>
    <phoneticPr fontId="1"/>
  </si>
  <si>
    <t>　「収支計画表」の売上高、営業利益等の各数値の計算根拠について</t>
    <rPh sb="6" eb="7">
      <t>ヒョウ</t>
    </rPh>
    <phoneticPr fontId="1"/>
  </si>
  <si>
    <t>　収支計画のとおりに事業が遂行しなかった場合の次善策について</t>
    <phoneticPr fontId="1"/>
  </si>
  <si>
    <t>資産の種類</t>
    <rPh sb="0" eb="2">
      <t>シサン</t>
    </rPh>
    <rPh sb="3" eb="5">
      <t>シュルイ</t>
    </rPh>
    <phoneticPr fontId="1"/>
  </si>
  <si>
    <t>合計数</t>
    <rPh sb="0" eb="2">
      <t>ゴウケイ</t>
    </rPh>
    <rPh sb="2" eb="3">
      <t>カズ</t>
    </rPh>
    <phoneticPr fontId="1"/>
  </si>
  <si>
    <t>機械装置
基数</t>
    <rPh sb="0" eb="4">
      <t>キカイソウチ</t>
    </rPh>
    <rPh sb="5" eb="7">
      <t>キスウ</t>
    </rPh>
    <phoneticPr fontId="1"/>
  </si>
  <si>
    <t>器具備品
基数</t>
    <rPh sb="0" eb="4">
      <t>キグビヒン</t>
    </rPh>
    <rPh sb="5" eb="7">
      <t>キスウ</t>
    </rPh>
    <phoneticPr fontId="1"/>
  </si>
  <si>
    <t>（１）機械設備一覧表（法人税法上の減価償却単位毎に記載してください）</t>
    <rPh sb="2" eb="4">
      <t>ホウジン</t>
    </rPh>
    <rPh sb="4" eb="7">
      <t>ゼイホウジョウ</t>
    </rPh>
    <rPh sb="8" eb="10">
      <t>ゲンカ</t>
    </rPh>
    <rPh sb="10" eb="12">
      <t>ショウキャク</t>
    </rPh>
    <rPh sb="12" eb="14">
      <t>タンイ</t>
    </rPh>
    <rPh sb="14" eb="15">
      <t>ゴト</t>
    </rPh>
    <rPh sb="16" eb="18">
      <t>キサイ</t>
    </rPh>
    <phoneticPr fontId="1"/>
  </si>
  <si>
    <r>
      <t>○見積書が整わない場合は、見積限定理由書を提出してください。ただし、「従来からの取引先から購入するため」など、以下の理由によらない場合、申請書類の不備となりますので、ご注意ください。
　※</t>
    </r>
    <r>
      <rPr>
        <sz val="9"/>
        <color rgb="FFFF0000"/>
        <rFont val="ＭＳ 明朝"/>
        <family val="1"/>
        <charset val="128"/>
      </rPr>
      <t>理由：「オーダーメイド」、「メーカー直販」、「特定代理店販売により、販売経路が限られているため」のいずれかの理由のみ</t>
    </r>
    <r>
      <rPr>
        <sz val="9"/>
        <color theme="1"/>
        <rFont val="ＭＳ 明朝"/>
        <family val="1"/>
        <charset val="128"/>
      </rPr>
      <t>。</t>
    </r>
    <rPh sb="148" eb="150">
      <t>リユウ</t>
    </rPh>
    <phoneticPr fontId="1"/>
  </si>
  <si>
    <t>申請無</t>
    <rPh sb="0" eb="2">
      <t>シンセイ</t>
    </rPh>
    <rPh sb="2" eb="3">
      <t>ナ</t>
    </rPh>
    <phoneticPr fontId="1"/>
  </si>
  <si>
    <t>申請有</t>
    <phoneticPr fontId="1"/>
  </si>
  <si>
    <t>※本助成金で申請する設備と同一設備で他の助成金を併願申請（申請予定含む）の場合は必ず</t>
    <rPh sb="24" eb="26">
      <t>ヘイガン</t>
    </rPh>
    <rPh sb="29" eb="31">
      <t>シンセイ</t>
    </rPh>
    <rPh sb="31" eb="33">
      <t>ヨテイ</t>
    </rPh>
    <rPh sb="33" eb="34">
      <t>フク</t>
    </rPh>
    <rPh sb="37" eb="39">
      <t>バアイ</t>
    </rPh>
    <rPh sb="40" eb="41">
      <t>カナラ</t>
    </rPh>
    <phoneticPr fontId="1"/>
  </si>
  <si>
    <t>←有の場合は「○」印付与して下表に記入ください</t>
    <rPh sb="9" eb="10">
      <t>シルシ</t>
    </rPh>
    <phoneticPr fontId="1"/>
  </si>
  <si>
    <t>（単位：円）</t>
    <phoneticPr fontId="1"/>
  </si>
  <si>
    <t xml:space="preserve"> (５－１)</t>
    <phoneticPr fontId="1"/>
  </si>
  <si>
    <t>助成対象外経費　無し</t>
    <phoneticPr fontId="1"/>
  </si>
  <si>
    <r>
      <t>助成対象外経費　有り</t>
    </r>
    <r>
      <rPr>
        <sz val="8"/>
        <rFont val="ＭＳ 明朝"/>
        <family val="1"/>
        <charset val="128"/>
      </rPr>
      <t>（「有り」の場合は下の「助成対象外経費の内訳表に具体的に記入ください）</t>
    </r>
    <rPh sb="8" eb="9">
      <t>ア</t>
    </rPh>
    <rPh sb="12" eb="13">
      <t>ア</t>
    </rPh>
    <rPh sb="16" eb="18">
      <t>バアイ</t>
    </rPh>
    <rPh sb="19" eb="20">
      <t>シタ</t>
    </rPh>
    <rPh sb="22" eb="29">
      <t>ジョセイタイショウガイケイヒ</t>
    </rPh>
    <rPh sb="30" eb="33">
      <t>ウチワケヒョウ</t>
    </rPh>
    <rPh sb="34" eb="37">
      <t>グタイテキ</t>
    </rPh>
    <rPh sb="38" eb="40">
      <t>キニュウ</t>
    </rPh>
    <phoneticPr fontId="1"/>
  </si>
  <si>
    <t>助成対象外経費（有無にチェック「レ」を付与し必要事項を記入ください）</t>
    <rPh sb="8" eb="10">
      <t>ウム</t>
    </rPh>
    <rPh sb="19" eb="21">
      <t>フヨ</t>
    </rPh>
    <rPh sb="22" eb="26">
      <t>ヒツヨウジコウ</t>
    </rPh>
    <rPh sb="27" eb="29">
      <t>キニュウ</t>
    </rPh>
    <phoneticPr fontId="1"/>
  </si>
  <si>
    <t>助成対象経費(税抜額・円)</t>
    <rPh sb="0" eb="2">
      <t>ジョセイ</t>
    </rPh>
    <rPh sb="2" eb="4">
      <t>タイショウ</t>
    </rPh>
    <rPh sb="4" eb="6">
      <t>ケイヒ</t>
    </rPh>
    <rPh sb="7" eb="8">
      <t>ゼイ</t>
    </rPh>
    <rPh sb="8" eb="9">
      <t>ヌ</t>
    </rPh>
    <rPh sb="9" eb="10">
      <t>ガク</t>
    </rPh>
    <rPh sb="11" eb="12">
      <t>エン</t>
    </rPh>
    <phoneticPr fontId="1"/>
  </si>
  <si>
    <t>見積もり限定理由書</t>
    <rPh sb="0" eb="2">
      <t>ミツ</t>
    </rPh>
    <rPh sb="4" eb="6">
      <t>ゲンテイ</t>
    </rPh>
    <rPh sb="6" eb="9">
      <t>リユウショ</t>
    </rPh>
    <phoneticPr fontId="1"/>
  </si>
  <si>
    <t>↓</t>
    <phoneticPr fontId="1"/>
  </si>
  <si>
    <t>事業区分</t>
    <rPh sb="0" eb="2">
      <t>ジギョウ</t>
    </rPh>
    <rPh sb="2" eb="4">
      <t>クブン</t>
    </rPh>
    <phoneticPr fontId="1"/>
  </si>
  <si>
    <t>申請者区分</t>
    <rPh sb="0" eb="3">
      <t>シンセイシャ</t>
    </rPh>
    <rPh sb="3" eb="5">
      <t>クブン</t>
    </rPh>
    <phoneticPr fontId="1"/>
  </si>
  <si>
    <t>選択欄</t>
    <rPh sb="0" eb="1">
      <t>センタク</t>
    </rPh>
    <rPh sb="2" eb="3">
      <t>ラン</t>
    </rPh>
    <phoneticPr fontId="1"/>
  </si>
  <si>
    <t>F156データ有</t>
    <phoneticPr fontId="1"/>
  </si>
  <si>
    <t>F159データ有</t>
    <phoneticPr fontId="1"/>
  </si>
  <si>
    <t>T68とW68にデータ有り</t>
    <rPh sb="11" eb="12">
      <t>ア</t>
    </rPh>
    <phoneticPr fontId="1"/>
  </si>
  <si>
    <t>単位は「千円」／「百万円」が切り替え可能（▼にて選択）↓</t>
    <rPh sb="0" eb="2">
      <t>タンイ</t>
    </rPh>
    <rPh sb="4" eb="6">
      <t>センエン</t>
    </rPh>
    <rPh sb="9" eb="12">
      <t>ヒャクマンエン</t>
    </rPh>
    <rPh sb="14" eb="15">
      <t>キ</t>
    </rPh>
    <rPh sb="16" eb="17">
      <t>カ</t>
    </rPh>
    <rPh sb="18" eb="20">
      <t>カノウ</t>
    </rPh>
    <rPh sb="24" eb="26">
      <t>センタク</t>
    </rPh>
    <phoneticPr fontId="1"/>
  </si>
  <si>
    <t>IoT・AI</t>
    <phoneticPr fontId="1"/>
  </si>
  <si>
    <t>ロボット</t>
    <phoneticPr fontId="1"/>
  </si>
  <si>
    <t>その他</t>
    <rPh sb="2" eb="3">
      <t>タ</t>
    </rPh>
    <phoneticPr fontId="1"/>
  </si>
  <si>
    <t>AA46にデータ有り</t>
    <rPh sb="8" eb="9">
      <t>ア</t>
    </rPh>
    <phoneticPr fontId="1"/>
  </si>
  <si>
    <t>AA48にデータ有り</t>
    <rPh sb="8" eb="9">
      <t>ア</t>
    </rPh>
    <phoneticPr fontId="1"/>
  </si>
  <si>
    <t>AA47にデータ有り</t>
    <rPh sb="8" eb="9">
      <t>ア</t>
    </rPh>
    <phoneticPr fontId="1"/>
  </si>
  <si>
    <r>
      <t>(2)</t>
    </r>
    <r>
      <rPr>
        <b/>
        <sz val="12"/>
        <color rgb="FF000000"/>
        <rFont val="ＭＳ 明朝"/>
        <family val="1"/>
        <charset val="128"/>
      </rPr>
      <t xml:space="preserve"> </t>
    </r>
    <r>
      <rPr>
        <b/>
        <sz val="12"/>
        <color rgb="FF000000"/>
        <rFont val="ＭＳ ゴシック"/>
        <family val="3"/>
        <charset val="128"/>
      </rPr>
      <t>収支計画表　</t>
    </r>
    <rPh sb="4" eb="6">
      <t>シュウシ</t>
    </rPh>
    <rPh sb="6" eb="8">
      <t>ケイカク</t>
    </rPh>
    <rPh sb="8" eb="9">
      <t>ヒョウ</t>
    </rPh>
    <phoneticPr fontId="24"/>
  </si>
  <si>
    <r>
      <t xml:space="preserve">（１）収支計画の具体的説明
</t>
    </r>
    <r>
      <rPr>
        <sz val="11"/>
        <color theme="1"/>
        <rFont val="ＭＳ 明朝"/>
        <family val="1"/>
        <charset val="128"/>
      </rPr>
      <t>「（２）収支計画表（申請区分に応じた収支計画表を選択の上）」を先に完成させ、当該表の売上高、営業利益等の各数値の計算根拠について具体的に説明・記載してください。（例：取引先から○％の受注内示を受けている、機械購入によって○％のコスト削減が可能等）
※　収支計画のとおりに事業が遂行しなかった場合の次善策についても記載してください。</t>
    </r>
    <rPh sb="23" eb="24">
      <t>ヒョウ</t>
    </rPh>
    <rPh sb="25" eb="27">
      <t>シンセイ</t>
    </rPh>
    <rPh sb="27" eb="29">
      <t>クブン</t>
    </rPh>
    <rPh sb="30" eb="31">
      <t>オウ</t>
    </rPh>
    <rPh sb="33" eb="35">
      <t>シュウシ</t>
    </rPh>
    <rPh sb="35" eb="37">
      <t>ケイカク</t>
    </rPh>
    <rPh sb="37" eb="38">
      <t>ヒョウ</t>
    </rPh>
    <rPh sb="39" eb="41">
      <t>センタク</t>
    </rPh>
    <rPh sb="42" eb="43">
      <t>ウエ</t>
    </rPh>
    <rPh sb="46" eb="47">
      <t>サキ</t>
    </rPh>
    <rPh sb="48" eb="50">
      <t>カンセイ</t>
    </rPh>
    <rPh sb="53" eb="55">
      <t>トウガイ</t>
    </rPh>
    <rPh sb="55" eb="56">
      <t>ヒョウ</t>
    </rPh>
    <rPh sb="83" eb="85">
      <t>セツメイ</t>
    </rPh>
    <phoneticPr fontId="1"/>
  </si>
  <si>
    <r>
      <t>「助成事業に要する経費」は事業計画を遂行するための総事業費ですが、</t>
    </r>
    <r>
      <rPr>
        <b/>
        <u/>
        <sz val="9"/>
        <rFont val="ＭＳ 明朝"/>
        <family val="1"/>
        <charset val="128"/>
      </rPr>
      <t>必要最小限の経費であることを確認ください。</t>
    </r>
    <r>
      <rPr>
        <sz val="9"/>
        <rFont val="ＭＳ 明朝"/>
        <family val="1"/>
        <charset val="128"/>
      </rPr>
      <t>実勢と著しく異なる価格や事業計画と不均衡な高性能・高額な機械設備購入経費等を計上することはできません。</t>
    </r>
    <rPh sb="47" eb="49">
      <t>カクニン</t>
    </rPh>
    <rPh sb="63" eb="65">
      <t>カカク</t>
    </rPh>
    <rPh sb="71" eb="74">
      <t>フキンコウ</t>
    </rPh>
    <rPh sb="75" eb="78">
      <t>コウセイノウ</t>
    </rPh>
    <rPh sb="84" eb="86">
      <t>セツビ</t>
    </rPh>
    <phoneticPr fontId="18"/>
  </si>
  <si>
    <t>「助成対象経費」は、「助成事業に要する経費」から間接経費（消費税、振込手数料、旅費・交通費、通信費、収入印紙代等）を除いたものです。機械設備計画の単価に助成対象外となる間接経費が含まれていないか確認ください。</t>
    <rPh sb="66" eb="68">
      <t>キカイ</t>
    </rPh>
    <rPh sb="68" eb="70">
      <t>セツビ</t>
    </rPh>
    <rPh sb="70" eb="72">
      <t>ケイカク</t>
    </rPh>
    <rPh sb="73" eb="75">
      <t>タンカ</t>
    </rPh>
    <rPh sb="76" eb="78">
      <t>ジョセイ</t>
    </rPh>
    <rPh sb="78" eb="80">
      <t>タイショウ</t>
    </rPh>
    <rPh sb="80" eb="81">
      <t>ガイ</t>
    </rPh>
    <rPh sb="84" eb="86">
      <t>カンセツ</t>
    </rPh>
    <rPh sb="86" eb="88">
      <t>ケイヒ</t>
    </rPh>
    <rPh sb="89" eb="90">
      <t>フク</t>
    </rPh>
    <rPh sb="97" eb="99">
      <t>カクニン</t>
    </rPh>
    <phoneticPr fontId="18"/>
  </si>
  <si>
    <t>相見積書を提出せずに見積もり限定理由書を提出する場合はこの欄に「○」印を付してください</t>
    <rPh sb="0" eb="3">
      <t>アイミツ</t>
    </rPh>
    <rPh sb="3" eb="4">
      <t>ショ</t>
    </rPh>
    <rPh sb="5" eb="7">
      <t>テイシュツ</t>
    </rPh>
    <rPh sb="10" eb="12">
      <t>ミツ</t>
    </rPh>
    <rPh sb="14" eb="19">
      <t>ゲンテイリユウショ</t>
    </rPh>
    <rPh sb="20" eb="22">
      <t>テイシュツ</t>
    </rPh>
    <rPh sb="24" eb="26">
      <t>バアイ</t>
    </rPh>
    <rPh sb="29" eb="30">
      <t>ラン</t>
    </rPh>
    <rPh sb="34" eb="35">
      <t>シルシ</t>
    </rPh>
    <rPh sb="36" eb="37">
      <t>フ</t>
    </rPh>
    <phoneticPr fontId="1"/>
  </si>
  <si>
    <r>
      <rPr>
        <sz val="8"/>
        <color theme="1"/>
        <rFont val="ＭＳ 明朝"/>
        <family val="1"/>
        <charset val="128"/>
      </rPr>
      <t>2ヶ月以内の期間被雇用</t>
    </r>
    <r>
      <rPr>
        <sz val="8"/>
        <color theme="1"/>
        <rFont val="ＭＳ Ｐ明朝"/>
        <family val="1"/>
        <charset val="128"/>
      </rPr>
      <t>者で、当初の雇用期間を超えて勤務している者</t>
    </r>
    <phoneticPr fontId="1"/>
  </si>
  <si>
    <r>
      <rPr>
        <sz val="8"/>
        <color theme="1"/>
        <rFont val="ＭＳ 明朝"/>
        <family val="1"/>
        <charset val="128"/>
      </rPr>
      <t>4ヶ月以内の季節的被雇用者</t>
    </r>
    <r>
      <rPr>
        <sz val="8"/>
        <color theme="1"/>
        <rFont val="ＭＳ Ｐ明朝"/>
        <family val="1"/>
        <charset val="128"/>
      </rPr>
      <t>で、当初の雇用期間を超えて勤務している者</t>
    </r>
    <phoneticPr fontId="1"/>
  </si>
  <si>
    <r>
      <t xml:space="preserve">持ち株数
</t>
    </r>
    <r>
      <rPr>
        <sz val="9"/>
        <color theme="1"/>
        <rFont val="ＭＳ 明朝"/>
        <family val="1"/>
        <charset val="128"/>
      </rPr>
      <t>（株）</t>
    </r>
    <rPh sb="0" eb="1">
      <t>モ</t>
    </rPh>
    <rPh sb="2" eb="3">
      <t>カブ</t>
    </rPh>
    <rPh sb="3" eb="4">
      <t>スウ</t>
    </rPh>
    <rPh sb="6" eb="7">
      <t>カブ</t>
    </rPh>
    <phoneticPr fontId="1"/>
  </si>
  <si>
    <r>
      <t xml:space="preserve">持ち株
</t>
    </r>
    <r>
      <rPr>
        <sz val="9"/>
        <color theme="1"/>
        <rFont val="ＭＳ 明朝"/>
        <family val="1"/>
        <charset val="128"/>
      </rPr>
      <t>比率(％)</t>
    </r>
    <rPh sb="0" eb="1">
      <t>モ</t>
    </rPh>
    <rPh sb="2" eb="3">
      <t>カブ</t>
    </rPh>
    <rPh sb="4" eb="6">
      <t>ヒリツ</t>
    </rPh>
    <phoneticPr fontId="1"/>
  </si>
  <si>
    <r>
      <t>[該当]を、関連性がない助成金等の場合は[非該当]を選択チェック （</t>
    </r>
    <r>
      <rPr>
        <u/>
        <sz val="8"/>
        <color theme="1"/>
        <rFont val="ＭＳ Ｐ明朝"/>
        <family val="1"/>
        <charset val="128"/>
      </rPr>
      <t xml:space="preserve">ドロップダウンリスト ▼から選択） </t>
    </r>
    <r>
      <rPr>
        <u/>
        <sz val="9"/>
        <color theme="1"/>
        <rFont val="ＭＳ 明朝"/>
        <family val="1"/>
        <charset val="128"/>
      </rPr>
      <t>してください</t>
    </r>
    <rPh sb="1" eb="3">
      <t>ガイトウ</t>
    </rPh>
    <rPh sb="6" eb="9">
      <t>カンレンセイ</t>
    </rPh>
    <rPh sb="12" eb="15">
      <t>ジョセイキン</t>
    </rPh>
    <rPh sb="15" eb="16">
      <t>ナド</t>
    </rPh>
    <rPh sb="17" eb="19">
      <t>バアイ</t>
    </rPh>
    <rPh sb="21" eb="24">
      <t>ヒガイトウ</t>
    </rPh>
    <rPh sb="48" eb="50">
      <t>センタク</t>
    </rPh>
    <phoneticPr fontId="1"/>
  </si>
  <si>
    <t>■</t>
    <phoneticPr fontId="1"/>
  </si>
  <si>
    <t>←無の場合は「■」印付与ください</t>
    <phoneticPr fontId="1"/>
  </si>
  <si>
    <t>↑本事業に関する連絡先のチェックリストとリンク</t>
    <rPh sb="1" eb="2">
      <t>ホン</t>
    </rPh>
    <rPh sb="2" eb="4">
      <t>ジギョウ</t>
    </rPh>
    <rPh sb="5" eb="6">
      <t>カン</t>
    </rPh>
    <rPh sb="8" eb="11">
      <t>レンラクサキ</t>
    </rPh>
    <phoneticPr fontId="1"/>
  </si>
  <si>
    <t>＊＊＊＊＊＊＊＊＊＊＊＊＊　以下 EXCEL関数に必要なデータ　勝手に改変禁止　＊＊＊＊＊＊＊＊＊＊＊＊＊</t>
    <rPh sb="14" eb="16">
      <t>イカ</t>
    </rPh>
    <rPh sb="22" eb="24">
      <t>カンスウ</t>
    </rPh>
    <rPh sb="25" eb="27">
      <t>ヒツヨウ</t>
    </rPh>
    <rPh sb="32" eb="34">
      <t>カッテ</t>
    </rPh>
    <rPh sb="35" eb="37">
      <t>カイヘン</t>
    </rPh>
    <rPh sb="37" eb="39">
      <t>キンシ</t>
    </rPh>
    <phoneticPr fontId="1"/>
  </si>
  <si>
    <t>ＡＣ列～(右側）にもEXCEL関数に必要なデータが含まれています。文字色がグレーのため背景と同色で見えなくなっているため注意！</t>
    <rPh sb="2" eb="3">
      <t>レツ</t>
    </rPh>
    <rPh sb="5" eb="6">
      <t>ミギ</t>
    </rPh>
    <rPh sb="6" eb="7">
      <t>ガワ</t>
    </rPh>
    <rPh sb="15" eb="17">
      <t>カンスウ</t>
    </rPh>
    <rPh sb="18" eb="20">
      <t>ヒツヨウ</t>
    </rPh>
    <rPh sb="25" eb="26">
      <t>フク</t>
    </rPh>
    <rPh sb="33" eb="35">
      <t>モジ</t>
    </rPh>
    <rPh sb="35" eb="36">
      <t>イロ</t>
    </rPh>
    <rPh sb="43" eb="45">
      <t>ハイケイ</t>
    </rPh>
    <rPh sb="46" eb="48">
      <t>ドウショク</t>
    </rPh>
    <rPh sb="49" eb="50">
      <t>ミ</t>
    </rPh>
    <rPh sb="60" eb="62">
      <t>チュウイ</t>
    </rPh>
    <phoneticPr fontId="1"/>
  </si>
  <si>
    <t>ＡＳ列～(右側）にもEXCEL関数に必要なデータが含まれています。注意！</t>
    <rPh sb="2" eb="3">
      <t>レツ</t>
    </rPh>
    <rPh sb="5" eb="6">
      <t>ミギ</t>
    </rPh>
    <rPh sb="6" eb="7">
      <t>ガワ</t>
    </rPh>
    <rPh sb="15" eb="17">
      <t>カンスウ</t>
    </rPh>
    <rPh sb="18" eb="20">
      <t>ヒツヨウ</t>
    </rPh>
    <rPh sb="25" eb="26">
      <t>フク</t>
    </rPh>
    <rPh sb="33" eb="35">
      <t>チュウイ</t>
    </rPh>
    <phoneticPr fontId="1"/>
  </si>
  <si>
    <t>Ｗ列～(右側）にもEXCEL関数に必要なデータが含まれています。文字色がグレーのため背景と同色で見えなくなっているため注意！</t>
    <rPh sb="1" eb="2">
      <t>レツ</t>
    </rPh>
    <rPh sb="4" eb="5">
      <t>ミギ</t>
    </rPh>
    <rPh sb="5" eb="6">
      <t>ガワ</t>
    </rPh>
    <rPh sb="14" eb="16">
      <t>カンスウ</t>
    </rPh>
    <rPh sb="17" eb="19">
      <t>ヒツヨウ</t>
    </rPh>
    <rPh sb="24" eb="25">
      <t>フク</t>
    </rPh>
    <rPh sb="32" eb="34">
      <t>モジ</t>
    </rPh>
    <rPh sb="34" eb="35">
      <t>イロ</t>
    </rPh>
    <rPh sb="42" eb="44">
      <t>ハイケイ</t>
    </rPh>
    <rPh sb="45" eb="47">
      <t>ドウショク</t>
    </rPh>
    <rPh sb="48" eb="49">
      <t>ミ</t>
    </rPh>
    <rPh sb="59" eb="61">
      <t>チュウイ</t>
    </rPh>
    <phoneticPr fontId="1"/>
  </si>
  <si>
    <t>T42にデータ有　変更不可 注意！</t>
    <rPh sb="9" eb="11">
      <t>ヘンコウ</t>
    </rPh>
    <rPh sb="11" eb="13">
      <t>フカ</t>
    </rPh>
    <rPh sb="14" eb="16">
      <t>チュウイ</t>
    </rPh>
    <phoneticPr fontId="1"/>
  </si>
  <si>
    <t>T43にデータ有　変更不可 注意！</t>
    <phoneticPr fontId="1"/>
  </si>
  <si>
    <t>AE146～AF146データ有 注意</t>
    <rPh sb="16" eb="18">
      <t>チュウイ</t>
    </rPh>
    <phoneticPr fontId="1"/>
  </si>
  <si>
    <t>AE147～AF147データ有 注意</t>
    <rPh sb="16" eb="18">
      <t>チュウイ</t>
    </rPh>
    <phoneticPr fontId="1"/>
  </si>
  <si>
    <t>AE148～AF148データ有 注意</t>
    <rPh sb="16" eb="18">
      <t>チュウイ</t>
    </rPh>
    <phoneticPr fontId="1"/>
  </si>
  <si>
    <t>AE149～AF149データ有 注意</t>
    <rPh sb="16" eb="18">
      <t>チュウイ</t>
    </rPh>
    <phoneticPr fontId="1"/>
  </si>
  <si>
    <t>AE159～AF159データ有 注意</t>
    <rPh sb="16" eb="18">
      <t>チュウイ</t>
    </rPh>
    <phoneticPr fontId="1"/>
  </si>
  <si>
    <t>AE162～AF162データ有 注意</t>
    <rPh sb="16" eb="18">
      <t>チュウイ</t>
    </rPh>
    <phoneticPr fontId="1"/>
  </si>
  <si>
    <t>②有利子
負債</t>
    <rPh sb="1" eb="2">
      <t>ユウ</t>
    </rPh>
    <rPh sb="2" eb="4">
      <t>リシ</t>
    </rPh>
    <rPh sb="5" eb="7">
      <t>フサイ</t>
    </rPh>
    <phoneticPr fontId="18"/>
  </si>
  <si>
    <t>建物
の
所有
形態</t>
    <rPh sb="0" eb="2">
      <t>タテモノ</t>
    </rPh>
    <rPh sb="5" eb="7">
      <t>ショユウ</t>
    </rPh>
    <rPh sb="8" eb="10">
      <t>ケイタイ</t>
    </rPh>
    <phoneticPr fontId="1"/>
  </si>
  <si>
    <t>都外設置の場合は次の((1)と(2)の両方に該当する必要有／「○」印必須)</t>
    <rPh sb="0" eb="1">
      <t>ト</t>
    </rPh>
    <rPh sb="1" eb="2">
      <t>ガイ</t>
    </rPh>
    <rPh sb="2" eb="4">
      <t>セッチ</t>
    </rPh>
    <rPh sb="5" eb="7">
      <t>バアイ</t>
    </rPh>
    <rPh sb="8" eb="9">
      <t>ツギ</t>
    </rPh>
    <rPh sb="19" eb="21">
      <t>リョウホウ</t>
    </rPh>
    <rPh sb="22" eb="24">
      <t>ガイトウ</t>
    </rPh>
    <rPh sb="26" eb="28">
      <t>ヒツヨウ</t>
    </rPh>
    <rPh sb="28" eb="29">
      <t>アリ</t>
    </rPh>
    <rPh sb="33" eb="34">
      <t>シルシ</t>
    </rPh>
    <rPh sb="34" eb="36">
      <t>ヒッス</t>
    </rPh>
    <phoneticPr fontId="1"/>
  </si>
  <si>
    <t>　　　　　　区 　分　　　　[注5]</t>
    <phoneticPr fontId="24"/>
  </si>
  <si>
    <t>[注7]</t>
    <phoneticPr fontId="18"/>
  </si>
  <si>
    <t>[注7]</t>
    <rPh sb="1" eb="2">
      <t>チュウ</t>
    </rPh>
    <phoneticPr fontId="18"/>
  </si>
  <si>
    <t>10月期</t>
    <rPh sb="2" eb="3">
      <t>ガツ</t>
    </rPh>
    <rPh sb="3" eb="4">
      <t>キ</t>
    </rPh>
    <phoneticPr fontId="1"/>
  </si>
  <si>
    <t>11月期</t>
    <rPh sb="2" eb="3">
      <t>ガツ</t>
    </rPh>
    <rPh sb="3" eb="4">
      <t>キ</t>
    </rPh>
    <phoneticPr fontId="1"/>
  </si>
  <si>
    <t>12月期</t>
    <rPh sb="2" eb="3">
      <t>ガツ</t>
    </rPh>
    <rPh sb="3" eb="4">
      <t>キ</t>
    </rPh>
    <phoneticPr fontId="1"/>
  </si>
  <si>
    <t>Ｃ：ＤＸ推進　助成率2/3以内</t>
    <rPh sb="4" eb="6">
      <t>スイシン</t>
    </rPh>
    <rPh sb="7" eb="9">
      <t>ジョセイ</t>
    </rPh>
    <rPh sb="9" eb="10">
      <t>リツ</t>
    </rPh>
    <rPh sb="13" eb="15">
      <t>イナイ</t>
    </rPh>
    <phoneticPr fontId="18"/>
  </si>
  <si>
    <t>文字数ｶｳﾝﾀ
40字以内</t>
    <rPh sb="0" eb="3">
      <t>モジスウ</t>
    </rPh>
    <rPh sb="10" eb="11">
      <t>ジ</t>
    </rPh>
    <rPh sb="11" eb="13">
      <t>イナイ</t>
    </rPh>
    <phoneticPr fontId="1"/>
  </si>
  <si>
    <t>法人設立(和暦)</t>
    <rPh sb="0" eb="2">
      <t>ホウジン</t>
    </rPh>
    <rPh sb="2" eb="4">
      <t>セツリツ</t>
    </rPh>
    <rPh sb="5" eb="7">
      <t>ワレキ</t>
    </rPh>
    <phoneticPr fontId="1"/>
  </si>
  <si>
    <t>令和元年</t>
    <rPh sb="0" eb="2">
      <t>レイワ</t>
    </rPh>
    <rPh sb="2" eb="4">
      <t>ガンネン</t>
    </rPh>
    <phoneticPr fontId="1"/>
  </si>
  <si>
    <t>令和２年</t>
    <rPh sb="0" eb="2">
      <t>レイワ</t>
    </rPh>
    <rPh sb="3" eb="4">
      <t>ネン</t>
    </rPh>
    <phoneticPr fontId="1"/>
  </si>
  <si>
    <t>令和３年</t>
    <rPh sb="0" eb="2">
      <t>レイワ</t>
    </rPh>
    <rPh sb="3" eb="4">
      <t>ネン</t>
    </rPh>
    <phoneticPr fontId="1"/>
  </si>
  <si>
    <t>令和４年</t>
    <rPh sb="0" eb="2">
      <t>レイワ</t>
    </rPh>
    <rPh sb="3" eb="4">
      <t>ネン</t>
    </rPh>
    <phoneticPr fontId="1"/>
  </si>
  <si>
    <t>令和５年</t>
    <rPh sb="0" eb="2">
      <t>レイワ</t>
    </rPh>
    <rPh sb="3" eb="4">
      <t>ネン</t>
    </rPh>
    <phoneticPr fontId="1"/>
  </si>
  <si>
    <t>令和６年</t>
    <rPh sb="0" eb="2">
      <t>レイワ</t>
    </rPh>
    <rPh sb="3" eb="4">
      <t>ネン</t>
    </rPh>
    <phoneticPr fontId="1"/>
  </si>
  <si>
    <t>令和７年</t>
    <rPh sb="0" eb="2">
      <t>レイワ</t>
    </rPh>
    <rPh sb="3" eb="4">
      <t>ネン</t>
    </rPh>
    <phoneticPr fontId="1"/>
  </si>
  <si>
    <t>令和８年</t>
    <rPh sb="0" eb="2">
      <t>レイワ</t>
    </rPh>
    <rPh sb="3" eb="4">
      <t>ネン</t>
    </rPh>
    <phoneticPr fontId="1"/>
  </si>
  <si>
    <t>令和９年</t>
    <rPh sb="0" eb="2">
      <t>レイワ</t>
    </rPh>
    <rPh sb="3" eb="4">
      <t>ネン</t>
    </rPh>
    <phoneticPr fontId="1"/>
  </si>
  <si>
    <t>令和10年</t>
    <rPh sb="0" eb="2">
      <t>レイワ</t>
    </rPh>
    <rPh sb="4" eb="5">
      <t>ネン</t>
    </rPh>
    <phoneticPr fontId="1"/>
  </si>
  <si>
    <t>令和11年</t>
    <rPh sb="0" eb="2">
      <t>レイワ</t>
    </rPh>
    <rPh sb="4" eb="5">
      <t>ネン</t>
    </rPh>
    <phoneticPr fontId="1"/>
  </si>
  <si>
    <t>令和12年</t>
    <rPh sb="0" eb="2">
      <t>レイワ</t>
    </rPh>
    <rPh sb="4" eb="5">
      <t>ネン</t>
    </rPh>
    <phoneticPr fontId="1"/>
  </si>
  <si>
    <t>令和13年</t>
    <rPh sb="0" eb="2">
      <t>レイワ</t>
    </rPh>
    <rPh sb="4" eb="5">
      <t>ネン</t>
    </rPh>
    <phoneticPr fontId="1"/>
  </si>
  <si>
    <t>令和14年</t>
    <rPh sb="0" eb="2">
      <t>レイワ</t>
    </rPh>
    <rPh sb="4" eb="5">
      <t>ネン</t>
    </rPh>
    <phoneticPr fontId="1"/>
  </si>
  <si>
    <t>令和15年</t>
    <rPh sb="0" eb="2">
      <t>レイワ</t>
    </rPh>
    <rPh sb="4" eb="5">
      <t>ネン</t>
    </rPh>
    <phoneticPr fontId="1"/>
  </si>
  <si>
    <t>令和16年</t>
    <rPh sb="0" eb="2">
      <t>レイワ</t>
    </rPh>
    <rPh sb="4" eb="5">
      <t>ネン</t>
    </rPh>
    <phoneticPr fontId="1"/>
  </si>
  <si>
    <t>令和17年</t>
    <rPh sb="0" eb="2">
      <t>レイワ</t>
    </rPh>
    <rPh sb="4" eb="5">
      <t>ネン</t>
    </rPh>
    <phoneticPr fontId="1"/>
  </si>
  <si>
    <t>令和18年</t>
    <rPh sb="0" eb="2">
      <t>レイワ</t>
    </rPh>
    <rPh sb="4" eb="5">
      <t>ネン</t>
    </rPh>
    <phoneticPr fontId="1"/>
  </si>
  <si>
    <r>
      <t>「都内」設置か「都外」設置のどちらかにチェック「○」印付与
　</t>
    </r>
    <r>
      <rPr>
        <sz val="7"/>
        <color theme="1"/>
        <rFont val="ＭＳ 明朝"/>
        <family val="1"/>
        <charset val="128"/>
      </rPr>
      <t>設置場所が２ケ所以上の場合は本表欄外の「＊注）」参照</t>
    </r>
    <rPh sb="1" eb="3">
      <t>トナイ</t>
    </rPh>
    <rPh sb="4" eb="6">
      <t>セッチ</t>
    </rPh>
    <rPh sb="8" eb="9">
      <t>ト</t>
    </rPh>
    <rPh sb="9" eb="10">
      <t>ガイ</t>
    </rPh>
    <rPh sb="11" eb="13">
      <t>セッチ</t>
    </rPh>
    <rPh sb="26" eb="27">
      <t>シルシ</t>
    </rPh>
    <rPh sb="27" eb="29">
      <t>フヨ</t>
    </rPh>
    <rPh sb="31" eb="33">
      <t>セッチ</t>
    </rPh>
    <rPh sb="33" eb="35">
      <t>バショ</t>
    </rPh>
    <rPh sb="38" eb="39">
      <t>ショ</t>
    </rPh>
    <rPh sb="39" eb="41">
      <t>イジョウ</t>
    </rPh>
    <rPh sb="42" eb="44">
      <t>バアイ</t>
    </rPh>
    <rPh sb="45" eb="46">
      <t>ホン</t>
    </rPh>
    <rPh sb="46" eb="47">
      <t>ヒョウ</t>
    </rPh>
    <rPh sb="47" eb="49">
      <t>ランガイ</t>
    </rPh>
    <rPh sb="55" eb="57">
      <t>サンショウ</t>
    </rPh>
    <phoneticPr fontId="1"/>
  </si>
  <si>
    <t>※注意：購入済み、契約済みの機械設備は対象外です。金型や鋳型は、減価償却の税法上の資産の種類として「工具」に該当するため対象外です。</t>
    <rPh sb="1" eb="3">
      <t>チュウイ</t>
    </rPh>
    <rPh sb="37" eb="40">
      <t>ゼイホウジョウ</t>
    </rPh>
    <rPh sb="44" eb="46">
      <t>シュルイ</t>
    </rPh>
    <phoneticPr fontId="1"/>
  </si>
  <si>
    <t>※注意：見積書に助成対象外となる経費項目が含まれているような場合には除外した金額で「助成対象経費」を記入してください。</t>
    <rPh sb="1" eb="3">
      <t>チュウイ</t>
    </rPh>
    <rPh sb="4" eb="7">
      <t>ミツモリショ</t>
    </rPh>
    <rPh sb="8" eb="10">
      <t>ジョセイ</t>
    </rPh>
    <rPh sb="10" eb="12">
      <t>タイショウ</t>
    </rPh>
    <rPh sb="12" eb="13">
      <t>ガイ</t>
    </rPh>
    <rPh sb="16" eb="18">
      <t>ケイヒ</t>
    </rPh>
    <rPh sb="18" eb="20">
      <t>コウモク</t>
    </rPh>
    <rPh sb="21" eb="22">
      <t>フク</t>
    </rPh>
    <rPh sb="30" eb="32">
      <t>バアイ</t>
    </rPh>
    <rPh sb="34" eb="36">
      <t>ジョガイ</t>
    </rPh>
    <rPh sb="38" eb="40">
      <t>キンガク</t>
    </rPh>
    <rPh sb="42" eb="44">
      <t>ジョセイ</t>
    </rPh>
    <rPh sb="44" eb="46">
      <t>タイショウ</t>
    </rPh>
    <rPh sb="46" eb="48">
      <t>ケイヒ</t>
    </rPh>
    <rPh sb="50" eb="52">
      <t>キニュウ</t>
    </rPh>
    <phoneticPr fontId="1"/>
  </si>
  <si>
    <t>様式第１号（第５条関係）</t>
    <rPh sb="0" eb="2">
      <t>ヨウシキ</t>
    </rPh>
    <rPh sb="2" eb="3">
      <t>ダイ</t>
    </rPh>
    <rPh sb="4" eb="5">
      <t>ゴウ</t>
    </rPh>
    <rPh sb="6" eb="7">
      <t>ダイ</t>
    </rPh>
    <rPh sb="8" eb="9">
      <t>ジョウ</t>
    </rPh>
    <rPh sb="9" eb="11">
      <t>カンケイ</t>
    </rPh>
    <phoneticPr fontId="1"/>
  </si>
  <si>
    <t>ソフトウェアＡ</t>
    <phoneticPr fontId="1"/>
  </si>
  <si>
    <t>ソフトウェアＢ</t>
    <phoneticPr fontId="1"/>
  </si>
  <si>
    <t>※</t>
  </si>
  <si>
    <r>
      <t>※「（１）機械設備一覧表」にて、導入「設備」数が多いために行を挿入追加した場合には、上記表にも同様に行を挿入追加してください</t>
    </r>
    <r>
      <rPr>
        <sz val="9"/>
        <color rgb="FFFF0000"/>
        <rFont val="ＭＳ 明朝"/>
        <family val="1"/>
        <charset val="128"/>
      </rPr>
      <t>（◆詳細は欄外参照⇒）</t>
    </r>
    <r>
      <rPr>
        <sz val="9"/>
        <rFont val="ＭＳ 明朝"/>
        <family val="1"/>
        <charset val="128"/>
      </rPr>
      <t>。</t>
    </r>
    <rPh sb="16" eb="18">
      <t>ドウニュウ</t>
    </rPh>
    <rPh sb="19" eb="21">
      <t>セツビ</t>
    </rPh>
    <rPh sb="22" eb="23">
      <t>カズ</t>
    </rPh>
    <rPh sb="24" eb="25">
      <t>オオ</t>
    </rPh>
    <rPh sb="32" eb="34">
      <t>バアイ</t>
    </rPh>
    <rPh sb="37" eb="39">
      <t>ジョウキ</t>
    </rPh>
    <rPh sb="39" eb="40">
      <t>ヒョウ</t>
    </rPh>
    <rPh sb="42" eb="44">
      <t>ドウヨウ</t>
    </rPh>
    <phoneticPr fontId="1"/>
  </si>
  <si>
    <r>
      <t>※導入する設備数が多い場合は上記表の「行」をコピー追加挿入して記載ください</t>
    </r>
    <r>
      <rPr>
        <sz val="9"/>
        <color rgb="FFFF0000"/>
        <rFont val="ＭＳ 明朝"/>
        <family val="1"/>
        <charset val="128"/>
      </rPr>
      <t>（◆「シートの保護」を解除後に行う必要があります。詳細は欄外参照⇒）</t>
    </r>
    <r>
      <rPr>
        <sz val="9"/>
        <rFont val="ＭＳ 明朝"/>
        <family val="1"/>
        <charset val="128"/>
      </rPr>
      <t>。</t>
    </r>
    <phoneticPr fontId="1"/>
  </si>
  <si>
    <t>ソフトウエアＡＢの区別は税法上の分類ではなく本助成事業の便宜上のものです (詳細は募集要項で確認ください／資産の種類はＡＢいずれもソフトウエア(無形固定資産)の扱い)</t>
    <rPh sb="9" eb="11">
      <t>クベツ</t>
    </rPh>
    <rPh sb="12" eb="15">
      <t>ゼイホウジョウ</t>
    </rPh>
    <rPh sb="16" eb="18">
      <t>ブンルイ</t>
    </rPh>
    <rPh sb="22" eb="23">
      <t>ホン</t>
    </rPh>
    <rPh sb="23" eb="27">
      <t>ジョセイジギョウ</t>
    </rPh>
    <rPh sb="28" eb="30">
      <t>ベンギ</t>
    </rPh>
    <rPh sb="30" eb="31">
      <t>ウエ</t>
    </rPh>
    <rPh sb="38" eb="40">
      <t>ショウサイ</t>
    </rPh>
    <rPh sb="41" eb="45">
      <t>ボシュウヨウコウ</t>
    </rPh>
    <rPh sb="46" eb="48">
      <t>カクニン</t>
    </rPh>
    <rPh sb="53" eb="55">
      <t>シサン</t>
    </rPh>
    <rPh sb="56" eb="58">
      <t>シュルイ</t>
    </rPh>
    <rPh sb="72" eb="78">
      <t>ムケイコテイシサン</t>
    </rPh>
    <rPh sb="80" eb="81">
      <t>アツカ</t>
    </rPh>
    <phoneticPr fontId="1"/>
  </si>
  <si>
    <t>助成対象経費</t>
    <rPh sb="0" eb="2">
      <t>ジョセイ</t>
    </rPh>
    <rPh sb="2" eb="6">
      <t>タイショウケイヒ</t>
    </rPh>
    <phoneticPr fontId="1"/>
  </si>
  <si>
    <t>合計額</t>
    <rPh sb="0" eb="2">
      <t>ゴウケイ</t>
    </rPh>
    <rPh sb="2" eb="3">
      <t>ガク</t>
    </rPh>
    <phoneticPr fontId="1"/>
  </si>
  <si>
    <t>ＡＳ列～BC列の表は改変不可</t>
    <rPh sb="2" eb="3">
      <t>レツ</t>
    </rPh>
    <rPh sb="6" eb="7">
      <t>レツ</t>
    </rPh>
    <rPh sb="8" eb="9">
      <t>ヒョウ</t>
    </rPh>
    <rPh sb="10" eb="12">
      <t>カイヘン</t>
    </rPh>
    <rPh sb="12" eb="14">
      <t>フカ</t>
    </rPh>
    <phoneticPr fontId="1"/>
  </si>
  <si>
    <t>　機械装置と器具備品</t>
    <rPh sb="1" eb="3">
      <t>キカイ</t>
    </rPh>
    <rPh sb="3" eb="5">
      <t>ソウチ</t>
    </rPh>
    <rPh sb="6" eb="8">
      <t>キグ</t>
    </rPh>
    <rPh sb="8" eb="10">
      <t>ビヒン</t>
    </rPh>
    <phoneticPr fontId="18"/>
  </si>
  <si>
    <t>　ソフトウェア</t>
    <phoneticPr fontId="1"/>
  </si>
  <si>
    <t>　機械装置と器具備品</t>
    <phoneticPr fontId="1"/>
  </si>
  <si>
    <t>機械装置と器具備品</t>
    <rPh sb="0" eb="4">
      <t>キカイソウチ</t>
    </rPh>
    <rPh sb="5" eb="7">
      <t>キグ</t>
    </rPh>
    <rPh sb="7" eb="9">
      <t>ビヒン</t>
    </rPh>
    <phoneticPr fontId="1"/>
  </si>
  <si>
    <t>申請者区分</t>
    <rPh sb="0" eb="5">
      <t>シンセイシャクブン</t>
    </rPh>
    <phoneticPr fontId="1"/>
  </si>
  <si>
    <t>・　直接輸入等の非課税取引や消費税10%以外の税制適用が含まれる場合はチェック欄は［非該当］を選択し、[適用ボタン]を押し</t>
    <rPh sb="2" eb="4">
      <t>チョクセツ</t>
    </rPh>
    <rPh sb="4" eb="6">
      <t>ユニュウ</t>
    </rPh>
    <rPh sb="6" eb="7">
      <t>ナド</t>
    </rPh>
    <rPh sb="8" eb="11">
      <t>ヒカゼイ</t>
    </rPh>
    <rPh sb="11" eb="13">
      <t>トリヒキ</t>
    </rPh>
    <rPh sb="14" eb="17">
      <t>ショウヒゼイ</t>
    </rPh>
    <rPh sb="20" eb="22">
      <t>イガイ</t>
    </rPh>
    <rPh sb="23" eb="25">
      <t>ゼイセイ</t>
    </rPh>
    <rPh sb="25" eb="27">
      <t>テキヨウ</t>
    </rPh>
    <rPh sb="28" eb="29">
      <t>フク</t>
    </rPh>
    <rPh sb="32" eb="34">
      <t>バアイ</t>
    </rPh>
    <rPh sb="39" eb="40">
      <t>ラン</t>
    </rPh>
    <rPh sb="42" eb="45">
      <t>ヒガイトウ</t>
    </rPh>
    <rPh sb="47" eb="49">
      <t>センタク</t>
    </rPh>
    <rPh sb="52" eb="54">
      <t>テキヨウ</t>
    </rPh>
    <rPh sb="59" eb="60">
      <t>オ</t>
    </rPh>
    <phoneticPr fontId="1"/>
  </si>
  <si>
    <t>　　し、助成事業に要する経費（税込）を計算して正しい税込み金額を［注4］欄 （[適用ボタン］を押すと表示）へ記入ください。</t>
    <rPh sb="4" eb="6">
      <t>ジョセイ</t>
    </rPh>
    <rPh sb="6" eb="8">
      <t>ジギョウ</t>
    </rPh>
    <rPh sb="9" eb="10">
      <t>ヨウ</t>
    </rPh>
    <rPh sb="12" eb="14">
      <t>ケイヒ</t>
    </rPh>
    <rPh sb="15" eb="17">
      <t>ゼイコミ</t>
    </rPh>
    <rPh sb="19" eb="21">
      <t>ケイサン</t>
    </rPh>
    <rPh sb="23" eb="24">
      <t>タダ</t>
    </rPh>
    <rPh sb="26" eb="28">
      <t>ゼイコ</t>
    </rPh>
    <rPh sb="29" eb="31">
      <t>キンガク</t>
    </rPh>
    <rPh sb="33" eb="34">
      <t>チュウ</t>
    </rPh>
    <rPh sb="36" eb="37">
      <t>ラン</t>
    </rPh>
    <rPh sb="40" eb="42">
      <t>テキヨウ</t>
    </rPh>
    <rPh sb="47" eb="48">
      <t>オ</t>
    </rPh>
    <rPh sb="50" eb="52">
      <t>ヒョウジ</t>
    </rPh>
    <rPh sb="54" eb="56">
      <t>キニュウ</t>
    </rPh>
    <phoneticPr fontId="1"/>
  </si>
  <si>
    <t>　「助成事業に要する経費（税込）」欄は自動計算されます。初期状態で [該当]になっています。</t>
    <rPh sb="2" eb="4">
      <t>ジョセイ</t>
    </rPh>
    <rPh sb="4" eb="6">
      <t>ジギョウ</t>
    </rPh>
    <rPh sb="7" eb="8">
      <t>ヨウ</t>
    </rPh>
    <rPh sb="10" eb="12">
      <t>ケイヒ</t>
    </rPh>
    <rPh sb="28" eb="32">
      <t>ショキジョウタイ</t>
    </rPh>
    <rPh sb="35" eb="37">
      <t>ガイトウ</t>
    </rPh>
    <phoneticPr fontId="1"/>
  </si>
  <si>
    <t>申請者区分確認ください（申請書から転記）。</t>
    <rPh sb="0" eb="3">
      <t>シンセイシャ</t>
    </rPh>
    <rPh sb="3" eb="5">
      <t>クブン</t>
    </rPh>
    <rPh sb="5" eb="7">
      <t>カクニン</t>
    </rPh>
    <phoneticPr fontId="1"/>
  </si>
  <si>
    <t>（適用有りを選択した場合は所定資料提出が必須）</t>
    <rPh sb="13" eb="15">
      <t>ショテイ</t>
    </rPh>
    <rPh sb="20" eb="22">
      <t>ヒッス</t>
    </rPh>
    <phoneticPr fontId="1"/>
  </si>
  <si>
    <t>（設置場所が１ケ所の場合は本シートは記入不要・提出不要です）</t>
    <rPh sb="1" eb="5">
      <t>セッチバショ</t>
    </rPh>
    <rPh sb="8" eb="9">
      <t>ショ</t>
    </rPh>
    <rPh sb="10" eb="12">
      <t>バアイ</t>
    </rPh>
    <rPh sb="13" eb="14">
      <t>ホン</t>
    </rPh>
    <rPh sb="18" eb="22">
      <t>キニュウフヨウ</t>
    </rPh>
    <rPh sb="23" eb="25">
      <t>テイシュツ</t>
    </rPh>
    <rPh sb="25" eb="27">
      <t>フヨウ</t>
    </rPh>
    <phoneticPr fontId="1"/>
  </si>
  <si>
    <t>10_追加２ケ所目</t>
    <rPh sb="3" eb="4">
      <t>ツイカ</t>
    </rPh>
    <rPh sb="7" eb="9">
      <t>ショメ</t>
    </rPh>
    <phoneticPr fontId="1"/>
  </si>
  <si>
    <t>AE8～AF8データ有 注意</t>
    <rPh sb="12" eb="14">
      <t>チュウイ</t>
    </rPh>
    <phoneticPr fontId="1"/>
  </si>
  <si>
    <t>AE9～AF9データ有 注意</t>
    <rPh sb="12" eb="14">
      <t>チュウイ</t>
    </rPh>
    <phoneticPr fontId="1"/>
  </si>
  <si>
    <t>AE10～AF10データ有 注意</t>
    <rPh sb="14" eb="16">
      <t>チュウイ</t>
    </rPh>
    <phoneticPr fontId="1"/>
  </si>
  <si>
    <t>AE11～AF11データ有 注意</t>
    <rPh sb="14" eb="16">
      <t>チュウイ</t>
    </rPh>
    <phoneticPr fontId="1"/>
  </si>
  <si>
    <t>AE21～AF21データ有 注意</t>
    <rPh sb="14" eb="16">
      <t>チュウイ</t>
    </rPh>
    <phoneticPr fontId="1"/>
  </si>
  <si>
    <t>AE24～AF24データ有 注意</t>
    <rPh sb="14" eb="16">
      <t>チュウイ</t>
    </rPh>
    <phoneticPr fontId="1"/>
  </si>
  <si>
    <t>補足ｺﾒﾝﾄ（</t>
    <rPh sb="0" eb="2">
      <t>ホソク</t>
    </rPh>
    <phoneticPr fontId="1"/>
  </si>
  <si>
    <t>）</t>
    <phoneticPr fontId="1"/>
  </si>
  <si>
    <t>10_追加３ケ所目</t>
    <rPh sb="3" eb="4">
      <t>ツイカ</t>
    </rPh>
    <rPh sb="7" eb="9">
      <t>ショメ</t>
    </rPh>
    <phoneticPr fontId="1"/>
  </si>
  <si>
    <t>10_追加４ケ所目</t>
    <rPh sb="3" eb="4">
      <t>ツイカ</t>
    </rPh>
    <rPh sb="7" eb="9">
      <t>ショメ</t>
    </rPh>
    <phoneticPr fontId="1"/>
  </si>
  <si>
    <t>10_追加５ケ所目</t>
    <rPh sb="3" eb="4">
      <t>ツイカ</t>
    </rPh>
    <rPh sb="7" eb="9">
      <t>ショメ</t>
    </rPh>
    <phoneticPr fontId="1"/>
  </si>
  <si>
    <t>10_追加６ケ所目</t>
    <rPh sb="3" eb="4">
      <t>ツイカ</t>
    </rPh>
    <rPh sb="7" eb="9">
      <t>ショメ</t>
    </rPh>
    <phoneticPr fontId="1"/>
  </si>
  <si>
    <t>10_追加７ケ所目</t>
    <rPh sb="3" eb="4">
      <t>ツイカ</t>
    </rPh>
    <rPh sb="7" eb="9">
      <t>ショメ</t>
    </rPh>
    <phoneticPr fontId="1"/>
  </si>
  <si>
    <t>番号</t>
    <rPh sb="0" eb="2">
      <t>バンゴウ</t>
    </rPh>
    <phoneticPr fontId="1"/>
  </si>
  <si>
    <t>No</t>
    <phoneticPr fontId="1"/>
  </si>
  <si>
    <t>申請書6　企業名</t>
    <rPh sb="5" eb="7">
      <t>キギョウ</t>
    </rPh>
    <rPh sb="7" eb="8">
      <t>メイ</t>
    </rPh>
    <phoneticPr fontId="1"/>
  </si>
  <si>
    <t>申請書6　企業名フリガナ</t>
    <rPh sb="5" eb="7">
      <t>キギョウ</t>
    </rPh>
    <rPh sb="7" eb="8">
      <t>メイ</t>
    </rPh>
    <phoneticPr fontId="1"/>
  </si>
  <si>
    <t>申請書6　代表者名</t>
    <rPh sb="8" eb="9">
      <t>メイ</t>
    </rPh>
    <phoneticPr fontId="1"/>
  </si>
  <si>
    <t>申請書6　本店所在地</t>
    <rPh sb="7" eb="10">
      <t>ショザイチ</t>
    </rPh>
    <phoneticPr fontId="1"/>
  </si>
  <si>
    <t>申請書1　事業計画テーマ</t>
    <rPh sb="5" eb="7">
      <t>ジギョウ</t>
    </rPh>
    <rPh sb="7" eb="9">
      <t>ケイカク</t>
    </rPh>
    <phoneticPr fontId="1"/>
  </si>
  <si>
    <t>申請書2　事業区分</t>
    <rPh sb="5" eb="7">
      <t>ジギョウ</t>
    </rPh>
    <rPh sb="7" eb="9">
      <t>クブン</t>
    </rPh>
    <phoneticPr fontId="1"/>
  </si>
  <si>
    <t>&lt;参考&gt;
区分名称</t>
    <rPh sb="1" eb="3">
      <t>サンコウ</t>
    </rPh>
    <rPh sb="5" eb="7">
      <t>クブン</t>
    </rPh>
    <rPh sb="7" eb="9">
      <t>メイショウ</t>
    </rPh>
    <phoneticPr fontId="1"/>
  </si>
  <si>
    <t>申請書2　申請者区分</t>
    <rPh sb="7" eb="8">
      <t>シャ</t>
    </rPh>
    <phoneticPr fontId="1"/>
  </si>
  <si>
    <t>&lt;参考&gt;
助成率</t>
    <rPh sb="1" eb="3">
      <t>サンコウ</t>
    </rPh>
    <rPh sb="5" eb="7">
      <t>ジョセイ</t>
    </rPh>
    <rPh sb="7" eb="8">
      <t>リツ</t>
    </rPh>
    <phoneticPr fontId="1"/>
  </si>
  <si>
    <t>申請書4　助成対象経費</t>
    <rPh sb="5" eb="7">
      <t>ジョセイ</t>
    </rPh>
    <rPh sb="7" eb="9">
      <t>タイショウ</t>
    </rPh>
    <rPh sb="9" eb="11">
      <t>ケイヒ</t>
    </rPh>
    <phoneticPr fontId="1"/>
  </si>
  <si>
    <t>申請書5　機械装置(基)</t>
    <rPh sb="5" eb="7">
      <t>キカイ</t>
    </rPh>
    <rPh sb="7" eb="9">
      <t>ソウチ</t>
    </rPh>
    <rPh sb="10" eb="11">
      <t>キ</t>
    </rPh>
    <phoneticPr fontId="1"/>
  </si>
  <si>
    <t>申請書5　器具備品(基)</t>
    <rPh sb="5" eb="7">
      <t>キグ</t>
    </rPh>
    <rPh sb="7" eb="9">
      <t>ビヒン</t>
    </rPh>
    <rPh sb="10" eb="11">
      <t>キ</t>
    </rPh>
    <phoneticPr fontId="1"/>
  </si>
  <si>
    <t>申請書5　ソフトウェアＡ(個)</t>
    <rPh sb="12" eb="13">
      <t>ビヒン</t>
    </rPh>
    <rPh sb="13" eb="14">
      <t>コ</t>
    </rPh>
    <phoneticPr fontId="1"/>
  </si>
  <si>
    <t>申請書6　本事業に関する連絡先郵便番号</t>
    <phoneticPr fontId="1"/>
  </si>
  <si>
    <t>申請書6　本事業に関する連絡先住所</t>
    <phoneticPr fontId="1"/>
  </si>
  <si>
    <t>申請書6　本事業に関する連絡先 TEL</t>
    <phoneticPr fontId="1"/>
  </si>
  <si>
    <t>申請書6　連絡担当者 氏名</t>
    <phoneticPr fontId="1"/>
  </si>
  <si>
    <t>申請書6　資本金･出資金（千円単位）</t>
    <rPh sb="0" eb="3">
      <t>シンセイショ</t>
    </rPh>
    <rPh sb="9" eb="12">
      <t>シュッシキン</t>
    </rPh>
    <rPh sb="13" eb="15">
      <t>センエン</t>
    </rPh>
    <rPh sb="15" eb="17">
      <t>タンイ</t>
    </rPh>
    <phoneticPr fontId="1"/>
  </si>
  <si>
    <t>申請書6　創業年数/年</t>
    <rPh sb="0" eb="3">
      <t>シンセイショ</t>
    </rPh>
    <phoneticPr fontId="1"/>
  </si>
  <si>
    <t>申請書6　創業年数/ヶ月</t>
    <rPh sb="0" eb="3">
      <t>シンセイショ</t>
    </rPh>
    <phoneticPr fontId="1"/>
  </si>
  <si>
    <t>申請書3　業種/コード(2桁)
(3桁)</t>
    <rPh sb="0" eb="3">
      <t>シンセイショ</t>
    </rPh>
    <rPh sb="13" eb="14">
      <t>ケタ</t>
    </rPh>
    <rPh sb="18" eb="19">
      <t>ケタ</t>
    </rPh>
    <phoneticPr fontId="1"/>
  </si>
  <si>
    <t>申請書3　業種/中分類名</t>
    <rPh sb="0" eb="3">
      <t>シンセイショ</t>
    </rPh>
    <phoneticPr fontId="1"/>
  </si>
  <si>
    <t>申請書6　役員を除く常用従業員数(基準日現在) 合計</t>
    <rPh sb="0" eb="3">
      <t>シンセイショ</t>
    </rPh>
    <rPh sb="17" eb="20">
      <t>キジュンビ</t>
    </rPh>
    <rPh sb="20" eb="22">
      <t>ゲンザイ</t>
    </rPh>
    <rPh sb="24" eb="26">
      <t>ゴウケイ</t>
    </rPh>
    <phoneticPr fontId="1"/>
  </si>
  <si>
    <t>中小企業
要件１
（資本金）</t>
    <rPh sb="0" eb="2">
      <t>チュウショウ</t>
    </rPh>
    <rPh sb="2" eb="4">
      <t>キギョウ</t>
    </rPh>
    <rPh sb="5" eb="7">
      <t>ヨウケン</t>
    </rPh>
    <rPh sb="10" eb="13">
      <t>シホンキン</t>
    </rPh>
    <phoneticPr fontId="1"/>
  </si>
  <si>
    <t>中小企業
要件２
（従業員）</t>
    <rPh sb="10" eb="13">
      <t>ジュウギョウイン</t>
    </rPh>
    <phoneticPr fontId="1"/>
  </si>
  <si>
    <t>中小企業
判定</t>
    <rPh sb="0" eb="2">
      <t>チュウショウ</t>
    </rPh>
    <rPh sb="2" eb="4">
      <t>キギョウ</t>
    </rPh>
    <rPh sb="5" eb="7">
      <t>ハンテイ</t>
    </rPh>
    <phoneticPr fontId="1"/>
  </si>
  <si>
    <t>申請書10　設置場所の名称　No.1</t>
    <phoneticPr fontId="1"/>
  </si>
  <si>
    <t>申請書10　所在地/都内･都外　No.1</t>
    <rPh sb="10" eb="12">
      <t>トナイ</t>
    </rPh>
    <rPh sb="13" eb="15">
      <t>トガイ</t>
    </rPh>
    <phoneticPr fontId="1"/>
  </si>
  <si>
    <t>申請書10　所在地 No.1</t>
  </si>
  <si>
    <t>申請書10　設置場所の名称　No.2</t>
  </si>
  <si>
    <t>申請書10　所在地/都内･都外　No.2</t>
    <rPh sb="10" eb="12">
      <t>トナイ</t>
    </rPh>
    <rPh sb="13" eb="15">
      <t>トガイ</t>
    </rPh>
    <phoneticPr fontId="1"/>
  </si>
  <si>
    <t>申請書10　所在地 No.2</t>
  </si>
  <si>
    <t>申請書10　設置場所の名称　No.3</t>
  </si>
  <si>
    <t>申請書10　所在地/都内･都外　No.3</t>
    <rPh sb="10" eb="12">
      <t>トナイ</t>
    </rPh>
    <rPh sb="13" eb="15">
      <t>トガイ</t>
    </rPh>
    <phoneticPr fontId="1"/>
  </si>
  <si>
    <t>申請書10　所在地 No.3</t>
  </si>
  <si>
    <t>申請書14　(3)経費区分別内訳/助成事業に要する経費(税込)/機械設備等</t>
    <rPh sb="0" eb="3">
      <t>シンセイショ</t>
    </rPh>
    <rPh sb="36" eb="37">
      <t>ナド</t>
    </rPh>
    <phoneticPr fontId="1"/>
  </si>
  <si>
    <t>申請書14　(3)経費区分別内訳/助成事業に要する経費(税込)/その他助成対象外経費</t>
    <rPh sb="0" eb="3">
      <t>シンセイショ</t>
    </rPh>
    <rPh sb="34" eb="35">
      <t>タ</t>
    </rPh>
    <phoneticPr fontId="1"/>
  </si>
  <si>
    <t>申請書14　(3)経費区分別内訳/助成事業に要する経費(税込)/合計</t>
    <rPh sb="0" eb="3">
      <t>シンセイショ</t>
    </rPh>
    <phoneticPr fontId="1"/>
  </si>
  <si>
    <t>申請書14　(3)経費区分別内訳/助成対象経費(税抜)/機械設備等</t>
    <rPh sb="0" eb="3">
      <t>シンセイショ</t>
    </rPh>
    <rPh sb="32" eb="33">
      <t>ナド</t>
    </rPh>
    <phoneticPr fontId="1"/>
  </si>
  <si>
    <t>申請書14　(3)経費区分別内訳/助成対象経費(税抜)/合計</t>
    <rPh sb="0" eb="3">
      <t>シンセイショ</t>
    </rPh>
    <phoneticPr fontId="1"/>
  </si>
  <si>
    <t>申請書14　(3)経費区分別内訳/助成金交付申請額/機械設備等</t>
    <rPh sb="0" eb="3">
      <t>シンセイショ</t>
    </rPh>
    <rPh sb="30" eb="31">
      <t>ナド</t>
    </rPh>
    <phoneticPr fontId="1"/>
  </si>
  <si>
    <t>申請書14　(3)経費区分別内訳/助成金交付申請額/合計</t>
    <rPh sb="0" eb="3">
      <t>シンセイショ</t>
    </rPh>
    <phoneticPr fontId="1"/>
  </si>
  <si>
    <t>一致検証
助成対象経費
/申請書5 VS申請書14</t>
    <rPh sb="0" eb="2">
      <t>イッチ</t>
    </rPh>
    <rPh sb="2" eb="4">
      <t>ケンショウ</t>
    </rPh>
    <rPh sb="5" eb="7">
      <t>ジョセイ</t>
    </rPh>
    <rPh sb="7" eb="9">
      <t>タイショウ</t>
    </rPh>
    <rPh sb="9" eb="11">
      <t>ケイヒ</t>
    </rPh>
    <rPh sb="13" eb="16">
      <t>シンセイショ</t>
    </rPh>
    <rPh sb="20" eb="23">
      <t>シンセイショ</t>
    </rPh>
    <phoneticPr fontId="1"/>
  </si>
  <si>
    <t>一致検証
助成金交付申請額/申請書5 VS申請書14</t>
    <rPh sb="0" eb="2">
      <t>イッチ</t>
    </rPh>
    <rPh sb="2" eb="4">
      <t>ケンショウ</t>
    </rPh>
    <rPh sb="5" eb="7">
      <t>ジョセイ</t>
    </rPh>
    <rPh sb="7" eb="8">
      <t>キン</t>
    </rPh>
    <rPh sb="8" eb="10">
      <t>コウフ</t>
    </rPh>
    <rPh sb="10" eb="12">
      <t>シンセイ</t>
    </rPh>
    <rPh sb="12" eb="13">
      <t>ガク</t>
    </rPh>
    <rPh sb="14" eb="17">
      <t>シンセイショ</t>
    </rPh>
    <rPh sb="21" eb="24">
      <t>シンセイショ</t>
    </rPh>
    <phoneticPr fontId="1"/>
  </si>
  <si>
    <t>申請書13　(1)機械設備一覧表/機械設備名称
No.1</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</si>
  <si>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No.1</t>
    <rPh sb="0" eb="3">
      <t>シンセイショ</t>
    </rPh>
    <rPh sb="9" eb="11">
      <t>キカイ</t>
    </rPh>
    <rPh sb="11" eb="13">
      <t>セツビ</t>
    </rPh>
    <rPh sb="13" eb="15">
      <t>イチラン</t>
    </rPh>
    <rPh sb="15" eb="16">
      <t>ヒョウ</t>
    </rPh>
    <rPh sb="21" eb="22">
      <t>メイ</t>
    </rPh>
    <phoneticPr fontId="1"/>
  </si>
  <si>
    <t>申請書13　(1)機械設備一覧表/単価(税抜･円)
No.1</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</si>
  <si>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No.1</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</si>
  <si>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No.1</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</si>
  <si>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No.2</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</si>
  <si>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No.2</t>
    <rPh sb="0" eb="3">
      <t>シンセイショ</t>
    </rPh>
    <rPh sb="9" eb="11">
      <t>キカイ</t>
    </rPh>
    <rPh sb="11" eb="13">
      <t>セツビ</t>
    </rPh>
    <rPh sb="13" eb="15">
      <t>イチラン</t>
    </rPh>
    <rPh sb="15" eb="16">
      <t>ヒョウ</t>
    </rPh>
    <rPh sb="21" eb="22">
      <t>メイ</t>
    </rPh>
    <phoneticPr fontId="1"/>
  </si>
  <si>
    <t>申請書13　(1)機械設備一覧表/単価(税抜･円)
No.2</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</si>
  <si>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No.2</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</si>
  <si>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No.2</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</si>
  <si>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No.3</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</si>
  <si>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No.3</t>
    <rPh sb="0" eb="3">
      <t>シンセイショ</t>
    </rPh>
    <rPh sb="9" eb="11">
      <t>キカイ</t>
    </rPh>
    <rPh sb="11" eb="13">
      <t>セツビ</t>
    </rPh>
    <rPh sb="13" eb="15">
      <t>イチラン</t>
    </rPh>
    <rPh sb="15" eb="16">
      <t>ヒョウ</t>
    </rPh>
    <rPh sb="21" eb="22">
      <t>メイ</t>
    </rPh>
    <phoneticPr fontId="1"/>
  </si>
  <si>
    <t>申請書13　(1)機械設備一覧表/単価(税抜･円)
No.3</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</si>
  <si>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No.3</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</si>
  <si>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No.3</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</si>
  <si>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No.4</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</si>
  <si>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No.4</t>
    <rPh sb="0" eb="3">
      <t>シンセイショ</t>
    </rPh>
    <rPh sb="9" eb="11">
      <t>キカイ</t>
    </rPh>
    <rPh sb="11" eb="13">
      <t>セツビ</t>
    </rPh>
    <rPh sb="13" eb="15">
      <t>イチラン</t>
    </rPh>
    <rPh sb="15" eb="16">
      <t>ヒョウ</t>
    </rPh>
    <rPh sb="21" eb="22">
      <t>メイ</t>
    </rPh>
    <phoneticPr fontId="1"/>
  </si>
  <si>
    <t>申請書13　(1)機械設備一覧表/単価(税抜･円)
No.4</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</si>
  <si>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No.4</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</si>
  <si>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No.4</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</si>
  <si>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No.5</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</si>
  <si>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No.5</t>
    <rPh sb="0" eb="3">
      <t>シンセイショ</t>
    </rPh>
    <rPh sb="9" eb="11">
      <t>キカイ</t>
    </rPh>
    <rPh sb="11" eb="13">
      <t>セツビ</t>
    </rPh>
    <rPh sb="13" eb="15">
      <t>イチラン</t>
    </rPh>
    <rPh sb="15" eb="16">
      <t>ヒョウ</t>
    </rPh>
    <rPh sb="21" eb="22">
      <t>メイ</t>
    </rPh>
    <phoneticPr fontId="1"/>
  </si>
  <si>
    <t>申請書13　(1)機械設備一覧表/単価(税抜･円)
No.5</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</si>
  <si>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No.5</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</si>
  <si>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No.5</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</si>
  <si>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No.6</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</si>
  <si>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No.6</t>
    <rPh sb="0" eb="3">
      <t>シンセイショ</t>
    </rPh>
    <rPh sb="9" eb="11">
      <t>キカイ</t>
    </rPh>
    <rPh sb="11" eb="13">
      <t>セツビ</t>
    </rPh>
    <rPh sb="13" eb="15">
      <t>イチラン</t>
    </rPh>
    <rPh sb="15" eb="16">
      <t>ヒョウ</t>
    </rPh>
    <rPh sb="21" eb="22">
      <t>メイ</t>
    </rPh>
    <phoneticPr fontId="1"/>
  </si>
  <si>
    <t>申請書13　(1)機械設備一覧表/単価(税抜･円)
No.6</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</si>
  <si>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No.6</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</si>
  <si>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No.6</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</si>
  <si>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No.7</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</si>
  <si>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No.7</t>
    <rPh sb="0" eb="3">
      <t>シンセイショ</t>
    </rPh>
    <rPh sb="9" eb="11">
      <t>キカイ</t>
    </rPh>
    <rPh sb="11" eb="13">
      <t>セツビ</t>
    </rPh>
    <rPh sb="13" eb="15">
      <t>イチラン</t>
    </rPh>
    <rPh sb="15" eb="16">
      <t>ヒョウ</t>
    </rPh>
    <rPh sb="21" eb="22">
      <t>メイ</t>
    </rPh>
    <phoneticPr fontId="1"/>
  </si>
  <si>
    <t>申請書13　(1)機械設備一覧表/単価(税抜･円)
No.7</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</si>
  <si>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No.7</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</si>
  <si>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No.7</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</si>
  <si>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No.8</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</si>
  <si>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No.8</t>
    <rPh sb="0" eb="3">
      <t>シンセイショ</t>
    </rPh>
    <rPh sb="9" eb="11">
      <t>キカイ</t>
    </rPh>
    <rPh sb="11" eb="13">
      <t>セツビ</t>
    </rPh>
    <rPh sb="13" eb="15">
      <t>イチラン</t>
    </rPh>
    <rPh sb="15" eb="16">
      <t>ヒョウ</t>
    </rPh>
    <rPh sb="21" eb="22">
      <t>メイ</t>
    </rPh>
    <phoneticPr fontId="1"/>
  </si>
  <si>
    <t>申請書13　(1)機械設備一覧表/単価(税抜･円)
No.8</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</si>
  <si>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No.8</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</si>
  <si>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No.8</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</si>
  <si>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申請書13(1)
助成対象経費
個別合計金額</t>
    <rPh sb="9" eb="11">
      <t>ジョセイ</t>
    </rPh>
    <rPh sb="11" eb="13">
      <t>タイショウ</t>
    </rPh>
    <rPh sb="13" eb="15">
      <t>ケイヒ</t>
    </rPh>
    <rPh sb="16" eb="18">
      <t>コベツ</t>
    </rPh>
    <rPh sb="18" eb="20">
      <t>ゴウケイ</t>
    </rPh>
    <rPh sb="20" eb="22">
      <t>キンガク</t>
    </rPh>
    <phoneticPr fontId="1"/>
  </si>
  <si>
    <t>申請書13(1)
助成対象経費
資産の種類別の合計金額</t>
    <rPh sb="9" eb="11">
      <t>ジョセイ</t>
    </rPh>
    <rPh sb="11" eb="13">
      <t>タイショウ</t>
    </rPh>
    <rPh sb="13" eb="15">
      <t>ケイヒ</t>
    </rPh>
    <rPh sb="16" eb="18">
      <t>シサン</t>
    </rPh>
    <rPh sb="19" eb="22">
      <t>シュルイベツ</t>
    </rPh>
    <rPh sb="23" eb="25">
      <t>ゴウケイ</t>
    </rPh>
    <rPh sb="25" eb="27">
      <t>キンガク</t>
    </rPh>
    <phoneticPr fontId="1"/>
  </si>
  <si>
    <t>設置場所が複数（２ケ所以上）の場合には別Sheet（シート名：「追加設置場所」）に記入ください</t>
    <rPh sb="10" eb="11">
      <t>ショ</t>
    </rPh>
    <rPh sb="11" eb="13">
      <t>イジョウ</t>
    </rPh>
    <rPh sb="19" eb="20">
      <t>ベツ</t>
    </rPh>
    <rPh sb="29" eb="30">
      <t>メイ</t>
    </rPh>
    <rPh sb="32" eb="34">
      <t>ツイカ</t>
    </rPh>
    <rPh sb="34" eb="38">
      <t>セッチバショ</t>
    </rPh>
    <rPh sb="41" eb="43">
      <t>キニュウ</t>
    </rPh>
    <phoneticPr fontId="1"/>
  </si>
  <si>
    <t>消費税10%以外の税制適用が含まれる場合は、正しい税込み金額となるように金額を自身で計算の上で直接記入ください</t>
    <rPh sb="22" eb="23">
      <t>タダ</t>
    </rPh>
    <rPh sb="25" eb="27">
      <t>ゼイコ</t>
    </rPh>
    <rPh sb="28" eb="30">
      <t>キンガク</t>
    </rPh>
    <rPh sb="36" eb="38">
      <t>キンガク</t>
    </rPh>
    <rPh sb="39" eb="41">
      <t>ジシン</t>
    </rPh>
    <rPh sb="42" eb="44">
      <t>ケイサン</t>
    </rPh>
    <rPh sb="45" eb="46">
      <t>ウエ</t>
    </rPh>
    <rPh sb="47" eb="49">
      <t>チョクセツ</t>
    </rPh>
    <rPh sb="49" eb="51">
      <t>キニュウ</t>
    </rPh>
    <phoneticPr fontId="1"/>
  </si>
  <si>
    <r>
      <t xml:space="preserve">　↑↑ [非該当]は海外からの直輸入など消費税率10% </t>
    </r>
    <r>
      <rPr>
        <b/>
        <sz val="8"/>
        <color rgb="FFFF0000"/>
        <rFont val="ＭＳ 明朝"/>
        <family val="1"/>
        <charset val="128"/>
      </rPr>
      <t>非</t>
    </r>
    <r>
      <rPr>
        <sz val="7"/>
        <color rgb="FFFF0000"/>
        <rFont val="ＭＳ 明朝"/>
        <family val="1"/>
        <charset val="128"/>
      </rPr>
      <t>適用を含む場合にのみ選択のこと</t>
    </r>
    <rPh sb="5" eb="8">
      <t>ヒガイトウ</t>
    </rPh>
    <rPh sb="10" eb="12">
      <t>カイガイ</t>
    </rPh>
    <rPh sb="15" eb="18">
      <t>チョクユニュウ</t>
    </rPh>
    <rPh sb="20" eb="24">
      <t>ショウヒゼイリツ</t>
    </rPh>
    <rPh sb="28" eb="31">
      <t>ヒテキヨウ</t>
    </rPh>
    <rPh sb="32" eb="33">
      <t>フク</t>
    </rPh>
    <rPh sb="34" eb="36">
      <t>バアイ</t>
    </rPh>
    <rPh sb="39" eb="41">
      <t>センタク</t>
    </rPh>
    <phoneticPr fontId="1"/>
  </si>
  <si>
    <r>
      <t xml:space="preserve"> ⇔</t>
    </r>
    <r>
      <rPr>
        <sz val="7"/>
        <color rgb="FF0000FF"/>
        <rFont val="ＭＳ Ｐ明朝"/>
        <family val="1"/>
        <charset val="128"/>
      </rPr>
      <t>該当/非該当を切替えると下表「経費区分別内訳」の入力項目</t>
    </r>
    <r>
      <rPr>
        <b/>
        <sz val="7"/>
        <color rgb="FF0000FF"/>
        <rFont val="ＭＳ Ｐ明朝"/>
        <family val="1"/>
        <charset val="128"/>
      </rPr>
      <t>行</t>
    </r>
    <r>
      <rPr>
        <sz val="7"/>
        <color rgb="FF0000FF"/>
        <rFont val="ＭＳ Ｐ明朝"/>
        <family val="1"/>
        <charset val="128"/>
      </rPr>
      <t>が変更されます</t>
    </r>
    <rPh sb="2" eb="4">
      <t>ガイトウ</t>
    </rPh>
    <rPh sb="5" eb="8">
      <t>ヒガイトウ</t>
    </rPh>
    <rPh sb="9" eb="11">
      <t>キリカ</t>
    </rPh>
    <rPh sb="14" eb="15">
      <t>シタ</t>
    </rPh>
    <rPh sb="15" eb="16">
      <t>ヒョウ</t>
    </rPh>
    <rPh sb="17" eb="21">
      <t>ケイヒクブン</t>
    </rPh>
    <rPh sb="21" eb="22">
      <t>ベツ</t>
    </rPh>
    <rPh sb="22" eb="24">
      <t>ウチワケ</t>
    </rPh>
    <rPh sb="26" eb="28">
      <t>ニュウリョク</t>
    </rPh>
    <rPh sb="28" eb="30">
      <t>コウモク</t>
    </rPh>
    <rPh sb="30" eb="31">
      <t>ギョウ</t>
    </rPh>
    <rPh sb="32" eb="34">
      <t>ヘンコウ</t>
    </rPh>
    <phoneticPr fontId="1"/>
  </si>
  <si>
    <t>申請書6　連絡担当者 メールアドレス</t>
    <phoneticPr fontId="1"/>
  </si>
  <si>
    <t>申請書11　加点措置(3)</t>
    <rPh sb="6" eb="10">
      <t>カテンソチ</t>
    </rPh>
    <phoneticPr fontId="1"/>
  </si>
  <si>
    <t>申請書11　加点措置 添付資料有り</t>
    <rPh sb="6" eb="10">
      <t>カテンソチ</t>
    </rPh>
    <rPh sb="11" eb="15">
      <t>テンプシリョウ</t>
    </rPh>
    <rPh sb="15" eb="16">
      <t>アリ</t>
    </rPh>
    <phoneticPr fontId="1"/>
  </si>
  <si>
    <t>申請書14 (2)　税率区分／該当or非該当</t>
    <rPh sb="10" eb="12">
      <t>ゼイリツ</t>
    </rPh>
    <rPh sb="12" eb="14">
      <t>クブン</t>
    </rPh>
    <rPh sb="15" eb="17">
      <t>ガイトウ</t>
    </rPh>
    <rPh sb="19" eb="22">
      <t>ヒガイトウ</t>
    </rPh>
    <phoneticPr fontId="1"/>
  </si>
  <si>
    <r>
      <t>申請書15　(2)収支計画 ※事業区分Ⅱ、Ⅲ、Ⅳ /一人当たりの付加価値額の伸び率/</t>
    </r>
    <r>
      <rPr>
        <sz val="10"/>
        <color theme="1"/>
        <rFont val="ＭＳ 明朝"/>
        <family val="1"/>
        <charset val="128"/>
      </rPr>
      <t>３年後</t>
    </r>
    <rPh sb="0" eb="3">
      <t>シンセイショ</t>
    </rPh>
    <rPh sb="9" eb="11">
      <t>シュウシ</t>
    </rPh>
    <rPh sb="11" eb="13">
      <t>ケイカク</t>
    </rPh>
    <rPh sb="15" eb="17">
      <t>ジギョウ</t>
    </rPh>
    <rPh sb="17" eb="19">
      <t>クブン</t>
    </rPh>
    <rPh sb="26" eb="28">
      <t>ヒトリ</t>
    </rPh>
    <rPh sb="28" eb="29">
      <t>ア</t>
    </rPh>
    <rPh sb="32" eb="34">
      <t>フカ</t>
    </rPh>
    <rPh sb="34" eb="36">
      <t>カチ</t>
    </rPh>
    <rPh sb="36" eb="37">
      <t>ガク</t>
    </rPh>
    <rPh sb="38" eb="39">
      <t>ノ</t>
    </rPh>
    <rPh sb="40" eb="41">
      <t>リツ</t>
    </rPh>
    <phoneticPr fontId="1"/>
  </si>
  <si>
    <r>
      <t>申請書15　(2)収支計画 ※事業区分Ⅱ、Ⅲ、Ⅳ /一人当たりの付加価値額の伸び率/</t>
    </r>
    <r>
      <rPr>
        <sz val="10"/>
        <color theme="1"/>
        <rFont val="ＭＳ 明朝"/>
        <family val="1"/>
        <charset val="128"/>
      </rPr>
      <t>４年後</t>
    </r>
    <rPh sb="0" eb="3">
      <t>シンセイショ</t>
    </rPh>
    <rPh sb="9" eb="11">
      <t>シュウシ</t>
    </rPh>
    <rPh sb="11" eb="13">
      <t>ケイカク</t>
    </rPh>
    <rPh sb="15" eb="17">
      <t>ジギョウ</t>
    </rPh>
    <rPh sb="17" eb="19">
      <t>クブン</t>
    </rPh>
    <rPh sb="26" eb="28">
      <t>ヒトリ</t>
    </rPh>
    <rPh sb="28" eb="29">
      <t>ア</t>
    </rPh>
    <rPh sb="32" eb="34">
      <t>フカ</t>
    </rPh>
    <rPh sb="34" eb="36">
      <t>カチ</t>
    </rPh>
    <rPh sb="36" eb="37">
      <t>ガク</t>
    </rPh>
    <rPh sb="38" eb="39">
      <t>ノ</t>
    </rPh>
    <rPh sb="40" eb="41">
      <t>リツ</t>
    </rPh>
    <phoneticPr fontId="1"/>
  </si>
  <si>
    <r>
      <t>申請書15　(2)収支計画 ※事業区分Ⅱ、Ⅲ、Ⅳ /一人当たりの付加価値額の伸び率/</t>
    </r>
    <r>
      <rPr>
        <sz val="10"/>
        <color theme="1"/>
        <rFont val="ＭＳ 明朝"/>
        <family val="1"/>
        <charset val="128"/>
      </rPr>
      <t>５年後</t>
    </r>
    <rPh sb="0" eb="3">
      <t>シンセイショ</t>
    </rPh>
    <rPh sb="9" eb="11">
      <t>シュウシ</t>
    </rPh>
    <rPh sb="11" eb="13">
      <t>ケイカク</t>
    </rPh>
    <rPh sb="15" eb="17">
      <t>ジギョウ</t>
    </rPh>
    <rPh sb="17" eb="19">
      <t>クブン</t>
    </rPh>
    <rPh sb="26" eb="28">
      <t>ヒトリ</t>
    </rPh>
    <rPh sb="28" eb="29">
      <t>ア</t>
    </rPh>
    <rPh sb="32" eb="34">
      <t>フカ</t>
    </rPh>
    <rPh sb="34" eb="36">
      <t>カチ</t>
    </rPh>
    <rPh sb="36" eb="37">
      <t>ガク</t>
    </rPh>
    <rPh sb="38" eb="39">
      <t>ノ</t>
    </rPh>
    <rPh sb="40" eb="41">
      <t>リツ</t>
    </rPh>
    <rPh sb="43" eb="45">
      <t>ネンゴ</t>
    </rPh>
    <phoneticPr fontId="1"/>
  </si>
  <si>
    <t>申請書5　ソフトウェアＢ(個)</t>
    <rPh sb="12" eb="13">
      <t>ビヒン</t>
    </rPh>
    <rPh sb="13" eb="14">
      <t>コ</t>
    </rPh>
    <phoneticPr fontId="1"/>
  </si>
  <si>
    <r>
      <t>申請書14　(3)経費区分別内訳/助成事業に要する経費(税込)/</t>
    </r>
    <r>
      <rPr>
        <sz val="10"/>
        <color theme="1"/>
        <rFont val="ＭＳ 明朝"/>
        <family val="1"/>
        <charset val="128"/>
      </rPr>
      <t>ソフトウェア</t>
    </r>
    <rPh sb="0" eb="3">
      <t>シンセイショ</t>
    </rPh>
    <phoneticPr fontId="1"/>
  </si>
  <si>
    <r>
      <t>申請書14　(3)経費区分別内訳/助成対象経費(税抜)/</t>
    </r>
    <r>
      <rPr>
        <sz val="10"/>
        <color theme="1"/>
        <rFont val="ＭＳ 明朝"/>
        <family val="1"/>
        <charset val="128"/>
      </rPr>
      <t>ソフトウェア</t>
    </r>
    <rPh sb="0" eb="3">
      <t>シンセイショ</t>
    </rPh>
    <phoneticPr fontId="1"/>
  </si>
  <si>
    <r>
      <t>申請書14　(3)経費区分別内訳/助成金交付申請額/</t>
    </r>
    <r>
      <rPr>
        <sz val="10"/>
        <color theme="1"/>
        <rFont val="ＭＳ 明朝"/>
        <family val="1"/>
        <charset val="128"/>
      </rPr>
      <t>ソフトウェア</t>
    </r>
    <rPh sb="0" eb="3">
      <t>シンセイショ</t>
    </rPh>
    <phoneticPr fontId="1"/>
  </si>
  <si>
    <t xml:space="preserve">申請書13　(1)税法上の資産の種類/機械装置＆器具備品(個数)
</t>
    <rPh sb="0" eb="3">
      <t>シンセイショ</t>
    </rPh>
    <rPh sb="9" eb="12">
      <t>ゼイホウジョウ</t>
    </rPh>
    <rPh sb="13" eb="15">
      <t>シサン</t>
    </rPh>
    <rPh sb="16" eb="18">
      <t>シュルイ</t>
    </rPh>
    <rPh sb="19" eb="23">
      <t>キカイソウチ</t>
    </rPh>
    <rPh sb="24" eb="26">
      <t>キグ</t>
    </rPh>
    <rPh sb="26" eb="28">
      <t>ビヒン</t>
    </rPh>
    <rPh sb="29" eb="31">
      <t>コスウ</t>
    </rPh>
    <phoneticPr fontId="1"/>
  </si>
  <si>
    <t xml:space="preserve">申請書13　(1)税法上の資産の種類/ソフトウェアA(個数)
</t>
    <rPh sb="0" eb="3">
      <t>シンセイショ</t>
    </rPh>
    <rPh sb="9" eb="12">
      <t>ゼイホウジョウ</t>
    </rPh>
    <rPh sb="13" eb="15">
      <t>シサン</t>
    </rPh>
    <rPh sb="16" eb="18">
      <t>シュルイ</t>
    </rPh>
    <rPh sb="27" eb="29">
      <t>コスウ</t>
    </rPh>
    <phoneticPr fontId="1"/>
  </si>
  <si>
    <t xml:space="preserve">申請書13　(1)税法上の資産の種類/ソフトウェアB(個数)
</t>
    <rPh sb="0" eb="3">
      <t>シンセイショ</t>
    </rPh>
    <rPh sb="9" eb="12">
      <t>ゼイホウジョウ</t>
    </rPh>
    <rPh sb="13" eb="15">
      <t>シサン</t>
    </rPh>
    <rPh sb="16" eb="18">
      <t>シュルイ</t>
    </rPh>
    <rPh sb="27" eb="29">
      <t>コスウ</t>
    </rPh>
    <phoneticPr fontId="1"/>
  </si>
  <si>
    <t>申請書13　(1)/助成対象経費/機械装置＆器具備品(税抜･円)
/合計</t>
    <rPh sb="0" eb="3">
      <t>シンセイショ</t>
    </rPh>
    <rPh sb="10" eb="12">
      <t>ジョセイ</t>
    </rPh>
    <rPh sb="12" eb="14">
      <t>タイショウ</t>
    </rPh>
    <rPh sb="14" eb="16">
      <t>ケイヒ</t>
    </rPh>
    <rPh sb="27" eb="29">
      <t>ゼイヌキ</t>
    </rPh>
    <rPh sb="30" eb="31">
      <t>エン</t>
    </rPh>
    <rPh sb="34" eb="36">
      <t>ゴウケイ</t>
    </rPh>
    <phoneticPr fontId="1"/>
  </si>
  <si>
    <t>申請書13　(1)/助成対象経費/ソフトウェアA(税抜･円)
/合計</t>
    <rPh sb="0" eb="3">
      <t>シンセイショ</t>
    </rPh>
    <rPh sb="10" eb="12">
      <t>ジョセイ</t>
    </rPh>
    <rPh sb="12" eb="14">
      <t>タイショウ</t>
    </rPh>
    <rPh sb="14" eb="16">
      <t>ケイヒ</t>
    </rPh>
    <rPh sb="25" eb="27">
      <t>ゼイヌキ</t>
    </rPh>
    <rPh sb="28" eb="29">
      <t>エン</t>
    </rPh>
    <rPh sb="32" eb="34">
      <t>ゴウケイ</t>
    </rPh>
    <phoneticPr fontId="1"/>
  </si>
  <si>
    <t>申請書13　(1)/助成対象経費/ソフトウェアB(税抜･円)
/合計</t>
    <rPh sb="0" eb="3">
      <t>シンセイショ</t>
    </rPh>
    <rPh sb="10" eb="12">
      <t>ジョセイ</t>
    </rPh>
    <rPh sb="12" eb="14">
      <t>タイショウ</t>
    </rPh>
    <rPh sb="14" eb="16">
      <t>ケイヒ</t>
    </rPh>
    <rPh sb="25" eb="27">
      <t>ゼイヌキ</t>
    </rPh>
    <rPh sb="28" eb="29">
      <t>エン</t>
    </rPh>
    <rPh sb="32" eb="34">
      <t>ゴウケイ</t>
    </rPh>
    <phoneticPr fontId="1"/>
  </si>
  <si>
    <r>
      <t>申請書13(1)
導入設備が</t>
    </r>
    <r>
      <rPr>
        <sz val="10"/>
        <color rgb="FFFF0000"/>
        <rFont val="ＭＳ ゴシック"/>
        <family val="3"/>
        <charset val="128"/>
      </rPr>
      <t>９基</t>
    </r>
    <r>
      <rPr>
        <sz val="10"/>
        <color theme="1"/>
        <rFont val="ＭＳ ゴシック"/>
        <family val="3"/>
        <charset val="128"/>
      </rPr>
      <t>以上の場合
Yes／No</t>
    </r>
    <rPh sb="9" eb="11">
      <t>ドウニュウ</t>
    </rPh>
    <rPh sb="11" eb="13">
      <t>セツビ</t>
    </rPh>
    <rPh sb="15" eb="18">
      <t>キイジョウ</t>
    </rPh>
    <rPh sb="19" eb="21">
      <t>バアイ</t>
    </rPh>
    <phoneticPr fontId="1"/>
  </si>
  <si>
    <r>
      <t>申請書13(1)
個別合計金額との調整/（導入設備が</t>
    </r>
    <r>
      <rPr>
        <sz val="10"/>
        <color rgb="FFFF0000"/>
        <rFont val="ＭＳ ゴシック"/>
        <family val="3"/>
        <charset val="128"/>
      </rPr>
      <t>９基</t>
    </r>
    <r>
      <rPr>
        <sz val="10"/>
        <color theme="1"/>
        <rFont val="ＭＳ ゴシック"/>
        <family val="3"/>
        <charset val="128"/>
      </rPr>
      <t>以上の場合の記入欄）</t>
    </r>
    <rPh sb="9" eb="11">
      <t>コベツ</t>
    </rPh>
    <rPh sb="11" eb="13">
      <t>ゴウケイ</t>
    </rPh>
    <rPh sb="13" eb="15">
      <t>キンガク</t>
    </rPh>
    <rPh sb="17" eb="19">
      <t>チョウセイ</t>
    </rPh>
    <rPh sb="21" eb="23">
      <t>ドウニュウ</t>
    </rPh>
    <rPh sb="23" eb="25">
      <t>セツビ</t>
    </rPh>
    <rPh sb="27" eb="30">
      <t>キイジョウ</t>
    </rPh>
    <rPh sb="31" eb="33">
      <t>バアイ</t>
    </rPh>
    <rPh sb="34" eb="36">
      <t>キニュウ</t>
    </rPh>
    <rPh sb="36" eb="37">
      <t>ラン</t>
    </rPh>
    <phoneticPr fontId="1"/>
  </si>
  <si>
    <t>3年後9%、4年後12%、5年後15%のいずれか一つ以上が達成されていれば「TREUE」</t>
    <rPh sb="1" eb="3">
      <t>ネンゴ</t>
    </rPh>
    <rPh sb="7" eb="9">
      <t>ネンゴ</t>
    </rPh>
    <rPh sb="14" eb="16">
      <t>ネンゴ</t>
    </rPh>
    <rPh sb="24" eb="25">
      <t>ヒト</t>
    </rPh>
    <rPh sb="26" eb="28">
      <t>イジョウ</t>
    </rPh>
    <rPh sb="29" eb="31">
      <t>タッセイ</t>
    </rPh>
    <phoneticPr fontId="1"/>
  </si>
  <si>
    <t>申請書15　事業終了年月</t>
    <rPh sb="6" eb="8">
      <t>ジギョウ</t>
    </rPh>
    <phoneticPr fontId="1"/>
  </si>
  <si>
    <t>※ 設置場所が複数個所の場合の追加シート（２ケ所以上の場合は提出要）</t>
    <rPh sb="2" eb="6">
      <t>セッチバショ</t>
    </rPh>
    <rPh sb="7" eb="9">
      <t>フクスウ</t>
    </rPh>
    <rPh sb="9" eb="11">
      <t>カショ</t>
    </rPh>
    <rPh sb="12" eb="14">
      <t>バアイ</t>
    </rPh>
    <rPh sb="15" eb="17">
      <t>ツイカ</t>
    </rPh>
    <rPh sb="23" eb="24">
      <t>ショ</t>
    </rPh>
    <rPh sb="24" eb="26">
      <t>イジョウ</t>
    </rPh>
    <rPh sb="27" eb="29">
      <t>バアイ</t>
    </rPh>
    <rPh sb="30" eb="32">
      <t>テイシュツ</t>
    </rPh>
    <rPh sb="32" eb="33">
      <t>ヨウ</t>
    </rPh>
    <phoneticPr fontId="1"/>
  </si>
  <si>
    <t>申請書2　助成対象区分</t>
    <rPh sb="5" eb="7">
      <t>ジョセイ</t>
    </rPh>
    <rPh sb="7" eb="9">
      <t>タイショウ</t>
    </rPh>
    <rPh sb="9" eb="11">
      <t>クブン</t>
    </rPh>
    <phoneticPr fontId="1"/>
  </si>
  <si>
    <t>区分名称</t>
    <rPh sb="0" eb="2">
      <t>クブン</t>
    </rPh>
    <rPh sb="2" eb="4">
      <t>メイショウ</t>
    </rPh>
    <phoneticPr fontId="1"/>
  </si>
  <si>
    <t>Ⅱ．①</t>
    <phoneticPr fontId="1"/>
  </si>
  <si>
    <t>ＤＸ推進（IoT・AI）</t>
    <rPh sb="2" eb="4">
      <t>スイシン</t>
    </rPh>
    <phoneticPr fontId="1"/>
  </si>
  <si>
    <t>①IoT・AI</t>
    <phoneticPr fontId="1"/>
  </si>
  <si>
    <t>Ⅱ．②</t>
    <phoneticPr fontId="1"/>
  </si>
  <si>
    <t>ＤＸ推進（ロボット）</t>
    <rPh sb="2" eb="4">
      <t>スイシン</t>
    </rPh>
    <phoneticPr fontId="1"/>
  </si>
  <si>
    <t>②ロボット</t>
    <phoneticPr fontId="1"/>
  </si>
  <si>
    <t>Ⅱ．③</t>
    <phoneticPr fontId="1"/>
  </si>
  <si>
    <t>ＤＸ推進（その他）</t>
    <rPh sb="2" eb="4">
      <t>スイシン</t>
    </rPh>
    <rPh sb="7" eb="8">
      <t>タ</t>
    </rPh>
    <phoneticPr fontId="1"/>
  </si>
  <si>
    <t>③その他</t>
    <rPh sb="3" eb="4">
      <t>タ</t>
    </rPh>
    <phoneticPr fontId="1"/>
  </si>
  <si>
    <t>Ⅲ．①</t>
    <phoneticPr fontId="1"/>
  </si>
  <si>
    <t>イノベーション（防災・減災・災害）</t>
    <rPh sb="8" eb="10">
      <t>ボウサイ</t>
    </rPh>
    <rPh sb="11" eb="13">
      <t>ゲンサイ</t>
    </rPh>
    <rPh sb="14" eb="16">
      <t>サイガイ</t>
    </rPh>
    <phoneticPr fontId="1"/>
  </si>
  <si>
    <t>①防災・減災・災害</t>
    <rPh sb="1" eb="3">
      <t>ボウサイ</t>
    </rPh>
    <rPh sb="4" eb="6">
      <t>ゲンサイ</t>
    </rPh>
    <rPh sb="7" eb="9">
      <t>サイガイ</t>
    </rPh>
    <phoneticPr fontId="1"/>
  </si>
  <si>
    <t>Ⅲ．②</t>
    <phoneticPr fontId="1"/>
  </si>
  <si>
    <t>イノベーション（インフラメンテナンス）</t>
    <phoneticPr fontId="1"/>
  </si>
  <si>
    <t>②インフラメンテナンス</t>
    <phoneticPr fontId="1"/>
  </si>
  <si>
    <t>Ⅲ．③</t>
    <phoneticPr fontId="1"/>
  </si>
  <si>
    <t>イノベーション（安心・安全の確保）</t>
    <rPh sb="8" eb="10">
      <t>アンシン</t>
    </rPh>
    <rPh sb="11" eb="13">
      <t>アンゼン</t>
    </rPh>
    <rPh sb="14" eb="16">
      <t>カクホ</t>
    </rPh>
    <phoneticPr fontId="1"/>
  </si>
  <si>
    <t>③安心・安全の確保</t>
    <rPh sb="1" eb="3">
      <t>アンシン</t>
    </rPh>
    <rPh sb="4" eb="6">
      <t>アンゼン</t>
    </rPh>
    <rPh sb="7" eb="9">
      <t>カクホ</t>
    </rPh>
    <phoneticPr fontId="1"/>
  </si>
  <si>
    <t>Ⅲ．④</t>
    <phoneticPr fontId="1"/>
  </si>
  <si>
    <t>イノベーション（スポーツ振興・障害者スポーツ）</t>
    <rPh sb="12" eb="14">
      <t>シンコウ</t>
    </rPh>
    <rPh sb="15" eb="17">
      <t>ショウガイ</t>
    </rPh>
    <rPh sb="17" eb="18">
      <t>シャ</t>
    </rPh>
    <phoneticPr fontId="1"/>
  </si>
  <si>
    <t>④スポーツ振興・障害者スポーツ</t>
    <rPh sb="5" eb="7">
      <t>シンコウ</t>
    </rPh>
    <rPh sb="8" eb="10">
      <t>ショウガイ</t>
    </rPh>
    <rPh sb="10" eb="11">
      <t>シャ</t>
    </rPh>
    <phoneticPr fontId="1"/>
  </si>
  <si>
    <t>Ⅲ．⑤</t>
  </si>
  <si>
    <t>イノベーション（子育て・高齢者・障害者等）</t>
    <rPh sb="8" eb="10">
      <t>コソダ</t>
    </rPh>
    <rPh sb="12" eb="15">
      <t>コウレイシャ</t>
    </rPh>
    <rPh sb="16" eb="18">
      <t>ショウガイ</t>
    </rPh>
    <rPh sb="18" eb="19">
      <t>シャ</t>
    </rPh>
    <rPh sb="19" eb="20">
      <t>ナド</t>
    </rPh>
    <phoneticPr fontId="1"/>
  </si>
  <si>
    <t>⑤子育て・高齢者・障害者等</t>
    <rPh sb="1" eb="3">
      <t>コソダ</t>
    </rPh>
    <rPh sb="5" eb="8">
      <t>コウレイシャ</t>
    </rPh>
    <rPh sb="9" eb="11">
      <t>ショウガイ</t>
    </rPh>
    <rPh sb="11" eb="12">
      <t>シャ</t>
    </rPh>
    <rPh sb="12" eb="13">
      <t>ナド</t>
    </rPh>
    <phoneticPr fontId="1"/>
  </si>
  <si>
    <t>Ⅲ．⑥</t>
  </si>
  <si>
    <t>イノベーション（医療・健康）</t>
    <rPh sb="8" eb="10">
      <t>イリョウ</t>
    </rPh>
    <rPh sb="11" eb="13">
      <t>ケンコウ</t>
    </rPh>
    <phoneticPr fontId="1"/>
  </si>
  <si>
    <t>⑥医療・健康</t>
    <rPh sb="1" eb="3">
      <t>イリョウ</t>
    </rPh>
    <rPh sb="4" eb="6">
      <t>ケンコウ</t>
    </rPh>
    <phoneticPr fontId="1"/>
  </si>
  <si>
    <t>Ⅲ．⑦</t>
  </si>
  <si>
    <t>イノベーション（環境・エネルギー）</t>
    <rPh sb="8" eb="10">
      <t>カンキョウ</t>
    </rPh>
    <phoneticPr fontId="1"/>
  </si>
  <si>
    <t>⑦環境・エネルギー</t>
    <rPh sb="1" eb="3">
      <t>カンキョウ</t>
    </rPh>
    <phoneticPr fontId="1"/>
  </si>
  <si>
    <t>Ⅲ．⑧</t>
  </si>
  <si>
    <t>イノベーション（国際的な観光・金融都市の実現）</t>
    <rPh sb="8" eb="11">
      <t>コクサイテキ</t>
    </rPh>
    <rPh sb="12" eb="14">
      <t>カンコウ</t>
    </rPh>
    <rPh sb="15" eb="17">
      <t>キンユウ</t>
    </rPh>
    <rPh sb="17" eb="19">
      <t>トシ</t>
    </rPh>
    <rPh sb="20" eb="22">
      <t>ジツゲン</t>
    </rPh>
    <phoneticPr fontId="1"/>
  </si>
  <si>
    <t>⑧国際的な観光・金融都市の実現</t>
    <rPh sb="1" eb="4">
      <t>コクサイテキ</t>
    </rPh>
    <rPh sb="5" eb="7">
      <t>カンコウ</t>
    </rPh>
    <rPh sb="8" eb="10">
      <t>キンユウ</t>
    </rPh>
    <rPh sb="10" eb="12">
      <t>トシ</t>
    </rPh>
    <rPh sb="13" eb="15">
      <t>ジツゲン</t>
    </rPh>
    <phoneticPr fontId="1"/>
  </si>
  <si>
    <t>Ⅲ．⑨</t>
  </si>
  <si>
    <t>イノベーション（交通・物流・サプライチェーン）</t>
    <rPh sb="8" eb="10">
      <t>コウツウ</t>
    </rPh>
    <rPh sb="11" eb="13">
      <t>ブツリュウ</t>
    </rPh>
    <phoneticPr fontId="1"/>
  </si>
  <si>
    <t>⑨交通・物流・サプライチェーン</t>
    <rPh sb="1" eb="3">
      <t>コウツウ</t>
    </rPh>
    <rPh sb="4" eb="6">
      <t>ブツリュウ</t>
    </rPh>
    <phoneticPr fontId="1"/>
  </si>
  <si>
    <t>Ⅳ．</t>
    <phoneticPr fontId="1"/>
  </si>
  <si>
    <t>事業区分(ｲﾉﾍﾞｰｼｮﾝ新事業活動区分)</t>
    <rPh sb="0" eb="2">
      <t>ジギョウ</t>
    </rPh>
    <rPh sb="2" eb="4">
      <t>クブン</t>
    </rPh>
    <rPh sb="13" eb="15">
      <t>ジギョウ</t>
    </rPh>
    <rPh sb="15" eb="17">
      <t>カツドウ</t>
    </rPh>
    <rPh sb="17" eb="19">
      <t>クブン</t>
    </rPh>
    <rPh sb="19" eb="20">
      <t>）</t>
    </rPh>
    <phoneticPr fontId="1"/>
  </si>
  <si>
    <t>イノベーション（新商品の生産）</t>
    <rPh sb="8" eb="9">
      <t>シン</t>
    </rPh>
    <rPh sb="9" eb="11">
      <t>ショウヒン</t>
    </rPh>
    <rPh sb="12" eb="14">
      <t>セイサン</t>
    </rPh>
    <phoneticPr fontId="1"/>
  </si>
  <si>
    <t>イノベーション（新役務の提供）</t>
    <phoneticPr fontId="1"/>
  </si>
  <si>
    <t>②新役務の提供</t>
    <phoneticPr fontId="1"/>
  </si>
  <si>
    <t>イノベーション（商品の新たな生産又は販売の方式の導入）</t>
    <rPh sb="8" eb="10">
      <t>ショウヒン</t>
    </rPh>
    <rPh sb="11" eb="12">
      <t>アラ</t>
    </rPh>
    <rPh sb="14" eb="16">
      <t>セイサン</t>
    </rPh>
    <rPh sb="16" eb="17">
      <t>マタ</t>
    </rPh>
    <rPh sb="18" eb="20">
      <t>ハンバイ</t>
    </rPh>
    <rPh sb="21" eb="23">
      <t>ホウシキ</t>
    </rPh>
    <rPh sb="24" eb="26">
      <t>ドウニュウ</t>
    </rPh>
    <phoneticPr fontId="1"/>
  </si>
  <si>
    <t>③商品の新たな生産又は販売の方式の導入</t>
    <rPh sb="1" eb="3">
      <t>ショウヒン</t>
    </rPh>
    <rPh sb="4" eb="5">
      <t>アラ</t>
    </rPh>
    <rPh sb="7" eb="9">
      <t>セイサン</t>
    </rPh>
    <rPh sb="9" eb="10">
      <t>マタ</t>
    </rPh>
    <rPh sb="11" eb="13">
      <t>ハンバイ</t>
    </rPh>
    <rPh sb="14" eb="16">
      <t>ホウシキ</t>
    </rPh>
    <rPh sb="17" eb="19">
      <t>ドウニュウ</t>
    </rPh>
    <phoneticPr fontId="1"/>
  </si>
  <si>
    <t>イノベーション（役務の新たな提供の方式の導入、その他）</t>
    <phoneticPr fontId="1"/>
  </si>
  <si>
    <t>④役務の新たな提供の方式の導入、その他</t>
    <phoneticPr fontId="1"/>
  </si>
  <si>
    <t>助成率</t>
    <rPh sb="0" eb="2">
      <t>ジョセイ</t>
    </rPh>
    <rPh sb="2" eb="3">
      <t>リツ</t>
    </rPh>
    <phoneticPr fontId="1"/>
  </si>
  <si>
    <t>1/2以内</t>
    <rPh sb="3" eb="5">
      <t>イナイ</t>
    </rPh>
    <phoneticPr fontId="1"/>
  </si>
  <si>
    <t>2/3以内</t>
    <rPh sb="3" eb="5">
      <t>イナイ</t>
    </rPh>
    <phoneticPr fontId="1"/>
  </si>
  <si>
    <t>業種コード(2桁)</t>
    <rPh sb="0" eb="2">
      <t>ギョウシュ</t>
    </rPh>
    <rPh sb="7" eb="8">
      <t>ケタ</t>
    </rPh>
    <phoneticPr fontId="1"/>
  </si>
  <si>
    <t>中分類名</t>
    <rPh sb="0" eb="3">
      <t>チュウブンルイ</t>
    </rPh>
    <rPh sb="3" eb="4">
      <t>メイ</t>
    </rPh>
    <phoneticPr fontId="1"/>
  </si>
  <si>
    <t>中小企業要件
資本金</t>
    <rPh sb="0" eb="2">
      <t>チュウショウ</t>
    </rPh>
    <rPh sb="2" eb="4">
      <t>キギョウ</t>
    </rPh>
    <rPh sb="4" eb="6">
      <t>ヨウケン</t>
    </rPh>
    <rPh sb="7" eb="10">
      <t>シホンキン</t>
    </rPh>
    <phoneticPr fontId="1"/>
  </si>
  <si>
    <t>中小企業要件
従業員</t>
    <rPh sb="0" eb="2">
      <t>チュウショウ</t>
    </rPh>
    <rPh sb="2" eb="4">
      <t>キギョウ</t>
    </rPh>
    <rPh sb="4" eb="6">
      <t>ヨウケン</t>
    </rPh>
    <rPh sb="7" eb="10">
      <t>ジュウギョウイン</t>
    </rPh>
    <phoneticPr fontId="1"/>
  </si>
  <si>
    <t>小規模企業
従業員</t>
    <rPh sb="0" eb="5">
      <t>ショウキボキギョウ</t>
    </rPh>
    <rPh sb="6" eb="9">
      <t>ジュウギョウイン</t>
    </rPh>
    <phoneticPr fontId="1"/>
  </si>
  <si>
    <t>農業</t>
    <phoneticPr fontId="133"/>
  </si>
  <si>
    <t>林業</t>
    <phoneticPr fontId="133"/>
  </si>
  <si>
    <t>漁業</t>
    <phoneticPr fontId="133"/>
  </si>
  <si>
    <t>水産養殖業</t>
    <phoneticPr fontId="133"/>
  </si>
  <si>
    <t>鉱業、採石業、砂利採取業</t>
    <phoneticPr fontId="133"/>
  </si>
  <si>
    <t>総合工事業</t>
    <phoneticPr fontId="133"/>
  </si>
  <si>
    <t>職別工事業（設備工事業を除く）</t>
    <phoneticPr fontId="133"/>
  </si>
  <si>
    <t>設備工事業</t>
    <phoneticPr fontId="133"/>
  </si>
  <si>
    <t>食料品製造業</t>
    <phoneticPr fontId="133"/>
  </si>
  <si>
    <t>飲料・たばこ・飼料製造業</t>
    <phoneticPr fontId="133"/>
  </si>
  <si>
    <t>繊維工業</t>
    <phoneticPr fontId="133"/>
  </si>
  <si>
    <t>木材・木製品製造業（家具を除く）</t>
    <phoneticPr fontId="133"/>
  </si>
  <si>
    <t>家具・装備品製造業</t>
    <phoneticPr fontId="133"/>
  </si>
  <si>
    <t>パルプ・紙・紙加工品製造業</t>
    <phoneticPr fontId="133"/>
  </si>
  <si>
    <t>印刷・同関連業</t>
    <phoneticPr fontId="133"/>
  </si>
  <si>
    <t>化学工業</t>
    <phoneticPr fontId="133"/>
  </si>
  <si>
    <t>石油製品・石炭製品製造業</t>
    <phoneticPr fontId="133"/>
  </si>
  <si>
    <t>プラスチック製品製造業（別掲を除く）</t>
    <phoneticPr fontId="133"/>
  </si>
  <si>
    <t>ゴム製品製造業</t>
    <phoneticPr fontId="133"/>
  </si>
  <si>
    <t>なめし革・同製品・毛皮製造業</t>
    <phoneticPr fontId="133"/>
  </si>
  <si>
    <t>窯業・土石製品製造業</t>
    <phoneticPr fontId="133"/>
  </si>
  <si>
    <t>鉄鋼業</t>
    <phoneticPr fontId="133"/>
  </si>
  <si>
    <t>非鉄金属製造業</t>
    <phoneticPr fontId="133"/>
  </si>
  <si>
    <t>金属製品製造業</t>
    <phoneticPr fontId="133"/>
  </si>
  <si>
    <t>はん用機械器具製造業</t>
    <phoneticPr fontId="133"/>
  </si>
  <si>
    <t>生産用機械器具製造業</t>
    <phoneticPr fontId="133"/>
  </si>
  <si>
    <t>業務用機械器具製造業</t>
    <phoneticPr fontId="133"/>
  </si>
  <si>
    <t>電子部品・デバイス・電子回路製造業</t>
    <phoneticPr fontId="133"/>
  </si>
  <si>
    <t>電気機械器具製造業</t>
    <phoneticPr fontId="133"/>
  </si>
  <si>
    <t>情報通信機械器具製造業</t>
    <phoneticPr fontId="133"/>
  </si>
  <si>
    <t>輸送用機械器具製造業</t>
    <phoneticPr fontId="133"/>
  </si>
  <si>
    <t>その他の製造業</t>
    <phoneticPr fontId="133"/>
  </si>
  <si>
    <t>電気業</t>
    <phoneticPr fontId="133"/>
  </si>
  <si>
    <t>ガス業</t>
    <phoneticPr fontId="133"/>
  </si>
  <si>
    <t>熱供給業</t>
    <phoneticPr fontId="133"/>
  </si>
  <si>
    <t>水道業</t>
    <phoneticPr fontId="133"/>
  </si>
  <si>
    <t>通信業</t>
    <phoneticPr fontId="133"/>
  </si>
  <si>
    <t>放送業</t>
    <phoneticPr fontId="133"/>
  </si>
  <si>
    <t>情報サービス業</t>
    <phoneticPr fontId="133"/>
  </si>
  <si>
    <t>インターネット附随サービス業</t>
    <phoneticPr fontId="133"/>
  </si>
  <si>
    <t>映像・音声・文字情報制作業</t>
    <phoneticPr fontId="133"/>
  </si>
  <si>
    <t>管理・補助的経済活動を行う事業</t>
  </si>
  <si>
    <t>鉄道業</t>
    <phoneticPr fontId="133"/>
  </si>
  <si>
    <t>道路旅客運送業</t>
    <phoneticPr fontId="133"/>
  </si>
  <si>
    <t>道路貨物運送業</t>
    <phoneticPr fontId="133"/>
  </si>
  <si>
    <t>水運業</t>
    <phoneticPr fontId="133"/>
  </si>
  <si>
    <t>航空運輸業</t>
    <phoneticPr fontId="133"/>
  </si>
  <si>
    <t>倉庫業</t>
    <phoneticPr fontId="133"/>
  </si>
  <si>
    <t>運輸に附帯するサービス業</t>
    <phoneticPr fontId="133"/>
  </si>
  <si>
    <t>郵便業(信書便事業を除く)</t>
    <phoneticPr fontId="133"/>
  </si>
  <si>
    <t>各種商品卸売業</t>
    <phoneticPr fontId="133"/>
  </si>
  <si>
    <t>繊維・衣服等卸売業</t>
    <phoneticPr fontId="133"/>
  </si>
  <si>
    <t>飲食料品卸売業</t>
    <phoneticPr fontId="133"/>
  </si>
  <si>
    <t>建築材料、鉱物・金属材料等卸売業</t>
    <phoneticPr fontId="133"/>
  </si>
  <si>
    <t>機械器具卸売業</t>
    <phoneticPr fontId="133"/>
  </si>
  <si>
    <t>その他の卸売業</t>
    <phoneticPr fontId="133"/>
  </si>
  <si>
    <t>各種商品小売業</t>
    <phoneticPr fontId="133"/>
  </si>
  <si>
    <t>織物・衣服・身の回り品小売業</t>
    <phoneticPr fontId="133"/>
  </si>
  <si>
    <t>飲食料品小売業</t>
    <phoneticPr fontId="133"/>
  </si>
  <si>
    <t>機械器具小売業</t>
    <phoneticPr fontId="133"/>
  </si>
  <si>
    <t>その他の小売業</t>
    <phoneticPr fontId="133"/>
  </si>
  <si>
    <t>無店舗小売業</t>
    <phoneticPr fontId="133"/>
  </si>
  <si>
    <t>銀行業</t>
    <phoneticPr fontId="133"/>
  </si>
  <si>
    <t>協同組織金融業</t>
    <phoneticPr fontId="133"/>
  </si>
  <si>
    <t>貸金業、クレジットカード業等非預金信用機関</t>
    <phoneticPr fontId="133"/>
  </si>
  <si>
    <t>金融商品取引業、商品先物取引業</t>
    <phoneticPr fontId="133"/>
  </si>
  <si>
    <t>補助的金融業等</t>
    <phoneticPr fontId="133"/>
  </si>
  <si>
    <t>保険業（保険媒介代理業、保険サービス業 を除く）</t>
    <phoneticPr fontId="133"/>
  </si>
  <si>
    <t>不動産取引業</t>
    <phoneticPr fontId="133"/>
  </si>
  <si>
    <t>不動産賃貸業・管理業</t>
    <phoneticPr fontId="133"/>
  </si>
  <si>
    <t>不動産賃貸業（貸家業、貸間業を除く）</t>
  </si>
  <si>
    <t>貸家業、貸間業</t>
  </si>
  <si>
    <t>物品賃貸業</t>
    <phoneticPr fontId="133"/>
  </si>
  <si>
    <t>学術・開発研究機関</t>
    <phoneticPr fontId="133"/>
  </si>
  <si>
    <t>専門サービス業（他に分類されないもの）</t>
    <phoneticPr fontId="133"/>
  </si>
  <si>
    <t>広告業</t>
    <phoneticPr fontId="133"/>
  </si>
  <si>
    <t>技術サービス業（他に分類されないもの）</t>
    <phoneticPr fontId="133"/>
  </si>
  <si>
    <t>宿泊業</t>
    <phoneticPr fontId="133"/>
  </si>
  <si>
    <t>飲食店</t>
    <phoneticPr fontId="133"/>
  </si>
  <si>
    <t>持ち帰り・配達飲食サービス業</t>
    <phoneticPr fontId="133"/>
  </si>
  <si>
    <t>洗濯・理容・美容・浴場業</t>
    <phoneticPr fontId="133"/>
  </si>
  <si>
    <t>その他の生活関連サービス業</t>
    <phoneticPr fontId="133"/>
  </si>
  <si>
    <t>娯楽業</t>
    <phoneticPr fontId="133"/>
  </si>
  <si>
    <t>学校教育</t>
    <phoneticPr fontId="133"/>
  </si>
  <si>
    <t>その他の教育、学習支援業</t>
    <phoneticPr fontId="133"/>
  </si>
  <si>
    <t>医療業</t>
    <phoneticPr fontId="133"/>
  </si>
  <si>
    <t>保険衛生</t>
    <phoneticPr fontId="133"/>
  </si>
  <si>
    <t>社会保険・社会福祉・介護事業</t>
    <phoneticPr fontId="133"/>
  </si>
  <si>
    <t>郵便局</t>
    <phoneticPr fontId="133"/>
  </si>
  <si>
    <t>協同組合（他に分類されないもの）</t>
    <phoneticPr fontId="133"/>
  </si>
  <si>
    <t>廃棄物処理業</t>
    <phoneticPr fontId="133"/>
  </si>
  <si>
    <t>自動車整備業</t>
    <phoneticPr fontId="133"/>
  </si>
  <si>
    <t>機械等修理業（別掲を除く）</t>
    <phoneticPr fontId="133"/>
  </si>
  <si>
    <t>職業紹介・労働者派遣業</t>
    <phoneticPr fontId="133"/>
  </si>
  <si>
    <t>その他の事業サービス業</t>
    <phoneticPr fontId="133"/>
  </si>
  <si>
    <t>政治・経済・文化団体</t>
    <phoneticPr fontId="133"/>
  </si>
  <si>
    <t>宗教</t>
    <phoneticPr fontId="133"/>
  </si>
  <si>
    <t>その他のサービス業</t>
    <phoneticPr fontId="133"/>
  </si>
  <si>
    <t>外国公務</t>
    <phoneticPr fontId="133"/>
  </si>
  <si>
    <t>国家公務</t>
    <phoneticPr fontId="133"/>
  </si>
  <si>
    <t>地方公務</t>
    <phoneticPr fontId="133"/>
  </si>
  <si>
    <t>分類不能の産業</t>
    <phoneticPr fontId="133"/>
  </si>
  <si>
    <t>01</t>
    <phoneticPr fontId="1"/>
  </si>
  <si>
    <t>02</t>
    <phoneticPr fontId="1"/>
  </si>
  <si>
    <t>03</t>
    <phoneticPr fontId="1"/>
  </si>
  <si>
    <t>04</t>
    <phoneticPr fontId="1"/>
  </si>
  <si>
    <t>05</t>
    <phoneticPr fontId="1"/>
  </si>
  <si>
    <t>06</t>
    <phoneticPr fontId="1"/>
  </si>
  <si>
    <t>07</t>
    <phoneticPr fontId="1"/>
  </si>
  <si>
    <t>08</t>
    <phoneticPr fontId="1"/>
  </si>
  <si>
    <t>09</t>
    <phoneticPr fontId="1"/>
  </si>
  <si>
    <t>申請事業区分［ＤＸ推進］において、令和２年度までに公社が実施した「IoT、AI」又は「ロボット」導入前適正化診断を終了し、その診断結果に基づく申請者</t>
    <rPh sb="0" eb="2">
      <t>シンセイ</t>
    </rPh>
    <rPh sb="2" eb="4">
      <t>ジギョウ</t>
    </rPh>
    <rPh sb="4" eb="6">
      <t>クブン</t>
    </rPh>
    <rPh sb="9" eb="11">
      <t>スイシン</t>
    </rPh>
    <rPh sb="17" eb="19">
      <t>レイワ</t>
    </rPh>
    <rPh sb="20" eb="22">
      <t>ネンド</t>
    </rPh>
    <rPh sb="25" eb="27">
      <t>コウシャ</t>
    </rPh>
    <rPh sb="28" eb="30">
      <t>ジッシ</t>
    </rPh>
    <rPh sb="40" eb="41">
      <t>マタ</t>
    </rPh>
    <rPh sb="48" eb="50">
      <t>ドウニュウ</t>
    </rPh>
    <rPh sb="50" eb="51">
      <t>マエ</t>
    </rPh>
    <rPh sb="51" eb="54">
      <t>テキセイカ</t>
    </rPh>
    <rPh sb="54" eb="56">
      <t>シンダン</t>
    </rPh>
    <rPh sb="57" eb="59">
      <t>シュウリョウ</t>
    </rPh>
    <rPh sb="63" eb="65">
      <t>シンダン</t>
    </rPh>
    <rPh sb="65" eb="67">
      <t>ケッカ</t>
    </rPh>
    <rPh sb="68" eb="69">
      <t>モト</t>
    </rPh>
    <rPh sb="71" eb="73">
      <t>シンセイ</t>
    </rPh>
    <rPh sb="73" eb="74">
      <t>シャ</t>
    </rPh>
    <phoneticPr fontId="1"/>
  </si>
  <si>
    <r>
      <t xml:space="preserve">その他（従業員数に漏れがないよう全員分を記入ください）
</t>
    </r>
    <r>
      <rPr>
        <sz val="7"/>
        <color theme="1"/>
        <rFont val="ＭＳ 明朝"/>
        <family val="1"/>
        <charset val="128"/>
      </rPr>
      <t>事業所や支店数が多い場合はこの欄へ全人数を漏れなく纏めて記入ください</t>
    </r>
    <rPh sb="2" eb="3">
      <t>タ</t>
    </rPh>
    <rPh sb="4" eb="7">
      <t>ジュウギョウイン</t>
    </rPh>
    <rPh sb="7" eb="8">
      <t>スウ</t>
    </rPh>
    <rPh sb="9" eb="10">
      <t>モ</t>
    </rPh>
    <rPh sb="16" eb="18">
      <t>ゼンイン</t>
    </rPh>
    <rPh sb="18" eb="19">
      <t>ブン</t>
    </rPh>
    <rPh sb="20" eb="22">
      <t>キニュウ</t>
    </rPh>
    <rPh sb="28" eb="31">
      <t>ジギョウショ</t>
    </rPh>
    <rPh sb="32" eb="35">
      <t>シテンスウ</t>
    </rPh>
    <rPh sb="36" eb="37">
      <t>オオ</t>
    </rPh>
    <rPh sb="38" eb="40">
      <t>バアイ</t>
    </rPh>
    <rPh sb="43" eb="44">
      <t>ラン</t>
    </rPh>
    <rPh sb="45" eb="48">
      <t>ゼンニンズウ</t>
    </rPh>
    <rPh sb="49" eb="50">
      <t>モ</t>
    </rPh>
    <rPh sb="53" eb="54">
      <t>マト</t>
    </rPh>
    <rPh sb="56" eb="58">
      <t>キニュウ</t>
    </rPh>
    <phoneticPr fontId="1"/>
  </si>
  <si>
    <t>株主氏名</t>
    <rPh sb="0" eb="2">
      <t>カブヌシ</t>
    </rPh>
    <rPh sb="2" eb="4">
      <t>シメイ</t>
    </rPh>
    <phoneticPr fontId="1"/>
  </si>
  <si>
    <r>
      <t xml:space="preserve"> 設置場所の詳細</t>
    </r>
    <r>
      <rPr>
        <b/>
        <sz val="9"/>
        <color theme="1"/>
        <rFont val="ＭＳ ゴシック"/>
        <family val="3"/>
        <charset val="128"/>
      </rPr>
      <t>（設置場所が２ケ所以上の場合は「シート名「追加設置場所」」に記入のこと）</t>
    </r>
    <rPh sb="1" eb="3">
      <t>セッチ</t>
    </rPh>
    <rPh sb="3" eb="5">
      <t>バショ</t>
    </rPh>
    <rPh sb="6" eb="8">
      <t>ショウサイ</t>
    </rPh>
    <rPh sb="9" eb="11">
      <t>セッチ</t>
    </rPh>
    <rPh sb="11" eb="13">
      <t>バショ</t>
    </rPh>
    <rPh sb="16" eb="17">
      <t>ショ</t>
    </rPh>
    <rPh sb="17" eb="19">
      <t>イジョウ</t>
    </rPh>
    <rPh sb="20" eb="22">
      <t>バアイ</t>
    </rPh>
    <rPh sb="27" eb="28">
      <t>メイ</t>
    </rPh>
    <rPh sb="29" eb="31">
      <t>ツイカ</t>
    </rPh>
    <rPh sb="31" eb="35">
      <t>セッチバショ</t>
    </rPh>
    <rPh sb="38" eb="40">
      <t>キニュウ</t>
    </rPh>
    <phoneticPr fontId="1"/>
  </si>
  <si>
    <t>(3)</t>
    <phoneticPr fontId="1"/>
  </si>
  <si>
    <r>
      <t xml:space="preserve">注）設置場所が８ケ所以上の場合は書式をコピーして適宜記入欄を追加してください
                </t>
    </r>
    <r>
      <rPr>
        <b/>
        <sz val="9"/>
        <color rgb="FFFF0000"/>
        <rFont val="游ゴシック"/>
        <family val="3"/>
        <charset val="128"/>
        <scheme val="minor"/>
      </rPr>
      <t>（◆コピーは「シートの保護」を解除後に行う必要があります。詳細は欄外参照⇒）。</t>
    </r>
    <rPh sb="0" eb="1">
      <t>チュウ</t>
    </rPh>
    <rPh sb="2" eb="6">
      <t>セッチバショ</t>
    </rPh>
    <rPh sb="9" eb="10">
      <t>ショ</t>
    </rPh>
    <rPh sb="10" eb="12">
      <t>イジョウ</t>
    </rPh>
    <rPh sb="13" eb="15">
      <t>バアイ</t>
    </rPh>
    <rPh sb="16" eb="18">
      <t>ショシキ</t>
    </rPh>
    <rPh sb="24" eb="26">
      <t>テキギ</t>
    </rPh>
    <rPh sb="26" eb="29">
      <t>キニュウラン</t>
    </rPh>
    <rPh sb="30" eb="32">
      <t>ツイカ</t>
    </rPh>
    <phoneticPr fontId="1"/>
  </si>
  <si>
    <t>受付
番号</t>
    <phoneticPr fontId="1"/>
  </si>
  <si>
    <r>
      <t>申請書14　(3)経費区分別内訳/助成事業に要する経費(税込)/</t>
    </r>
    <r>
      <rPr>
        <b/>
        <sz val="10"/>
        <color rgb="FFFF0000"/>
        <rFont val="ＭＳ ゴシック"/>
        <family val="3"/>
        <charset val="128"/>
      </rPr>
      <t>総合計</t>
    </r>
    <rPh sb="0" eb="3">
      <t>シンセイショ</t>
    </rPh>
    <rPh sb="32" eb="35">
      <t>ソウゴウケイ</t>
    </rPh>
    <phoneticPr fontId="1"/>
  </si>
  <si>
    <r>
      <rPr>
        <sz val="2"/>
        <color theme="1"/>
        <rFont val="ＭＳ 明朝"/>
        <family val="1"/>
        <charset val="128"/>
      </rPr>
      <t xml:space="preserve">　
</t>
    </r>
    <r>
      <rPr>
        <sz val="7"/>
        <color theme="1"/>
        <rFont val="ＭＳ 明朝"/>
        <family val="1"/>
        <charset val="128"/>
      </rPr>
      <t>注）事業終了とは：
　全ての助成対象設備の取得・設置、経費の支払いが完了した日、又は工場認可等その他事情において稼働が遅れる場合は、稼働開始日のいずれか遅い方の日を事業終了日と称します。</t>
    </r>
    <rPh sb="2" eb="3">
      <t>チュウ</t>
    </rPh>
    <rPh sb="4" eb="6">
      <t>ジギョウ</t>
    </rPh>
    <rPh sb="6" eb="8">
      <t>シュウリョウ</t>
    </rPh>
    <rPh sb="13" eb="14">
      <t>スベ</t>
    </rPh>
    <rPh sb="84" eb="86">
      <t>ジギョウ</t>
    </rPh>
    <rPh sb="86" eb="89">
      <t>シュウリョウビ</t>
    </rPh>
    <rPh sb="90" eb="91">
      <t>ショウ</t>
    </rPh>
    <phoneticPr fontId="1"/>
  </si>
  <si>
    <t>鉱業、採石業、砂利採取業</t>
    <phoneticPr fontId="1"/>
  </si>
  <si>
    <t>C　鉱業、採石業、砂利採取業</t>
    <phoneticPr fontId="1"/>
  </si>
  <si>
    <t>建築材料、鉱物・金属材料等卸売業</t>
    <phoneticPr fontId="1"/>
  </si>
  <si>
    <t>管理、補助的経済活動を行う事業所（41映像・音声・文字情報制作業）</t>
    <phoneticPr fontId="1"/>
  </si>
  <si>
    <t>貸金業、クレジットカード業等非預金信用機関</t>
    <phoneticPr fontId="1"/>
  </si>
  <si>
    <t>金融商品取引業、商品先物取引業</t>
    <phoneticPr fontId="1"/>
  </si>
  <si>
    <t>保険業（保険媒介代理業、保険サービス業を含む）</t>
    <phoneticPr fontId="1"/>
  </si>
  <si>
    <t>貸家業、貸間業</t>
    <phoneticPr fontId="1"/>
  </si>
  <si>
    <t>その他の教育、学習支援業</t>
    <phoneticPr fontId="1"/>
  </si>
  <si>
    <t>A　農業、林業</t>
    <phoneticPr fontId="1"/>
  </si>
  <si>
    <t>H　運輸業、郵便業</t>
    <phoneticPr fontId="1"/>
  </si>
  <si>
    <t>I　卸売業、小売業</t>
    <phoneticPr fontId="1"/>
  </si>
  <si>
    <t>J　金融業、保険業</t>
    <phoneticPr fontId="1"/>
  </si>
  <si>
    <t>K　不動産業、物品賃貸業</t>
    <phoneticPr fontId="1"/>
  </si>
  <si>
    <t>L　学術研究、専門・技術サービス業</t>
    <phoneticPr fontId="1"/>
  </si>
  <si>
    <t>M　宿泊業、飲食サービス業</t>
    <phoneticPr fontId="1"/>
  </si>
  <si>
    <t>N　生活関連サービス業、娯楽業</t>
    <phoneticPr fontId="1"/>
  </si>
  <si>
    <t>O　教育、学習支援業</t>
    <phoneticPr fontId="1"/>
  </si>
  <si>
    <t>P　医療、福祉</t>
    <phoneticPr fontId="1"/>
  </si>
  <si>
    <t>不動産賃貸業（貸家業＜貸間業を除く）</t>
    <phoneticPr fontId="1"/>
  </si>
  <si>
    <t>職別工事業（設備工事業を除く）</t>
    <phoneticPr fontId="1"/>
  </si>
  <si>
    <t>管理・補助的経済活動を行う事業所（69不動産賃貸業・管理業）</t>
    <phoneticPr fontId="1"/>
  </si>
  <si>
    <t>※本シートを削除したり改変すると申請が無効となりますのでご注意ください</t>
    <rPh sb="1" eb="2">
      <t>ホン</t>
    </rPh>
    <rPh sb="6" eb="8">
      <t>サクジョ</t>
    </rPh>
    <rPh sb="11" eb="13">
      <t>カイヘン</t>
    </rPh>
    <rPh sb="16" eb="18">
      <t>シンセイ</t>
    </rPh>
    <rPh sb="19" eb="21">
      <t>ムコウ</t>
    </rPh>
    <rPh sb="29" eb="31">
      <t>チュウイ</t>
    </rPh>
    <phoneticPr fontId="1"/>
  </si>
  <si>
    <t>※本シートを削除したり改変すると申請が無効となりますのでご注意ください</t>
    <phoneticPr fontId="1"/>
  </si>
  <si>
    <t>「区分：ＤＸ推進」技術区分の選択</t>
    <rPh sb="1" eb="3">
      <t>クブン</t>
    </rPh>
    <rPh sb="6" eb="8">
      <t>スイシン</t>
    </rPh>
    <rPh sb="9" eb="11">
      <t>ギジュツ</t>
    </rPh>
    <rPh sb="11" eb="13">
      <t>クブン</t>
    </rPh>
    <rPh sb="14" eb="16">
      <t>センタク</t>
    </rPh>
    <phoneticPr fontId="1"/>
  </si>
  <si>
    <t>２-１</t>
    <phoneticPr fontId="1"/>
  </si>
  <si>
    <t>中小企業者</t>
    <phoneticPr fontId="1"/>
  </si>
  <si>
    <t>小規模企業者</t>
    <rPh sb="0" eb="3">
      <t>ショウキボ</t>
    </rPh>
    <phoneticPr fontId="1"/>
  </si>
  <si>
    <t>A1:</t>
    <phoneticPr fontId="1"/>
  </si>
  <si>
    <t>B1:</t>
    <phoneticPr fontId="1"/>
  </si>
  <si>
    <t>Ａ：</t>
    <phoneticPr fontId="1"/>
  </si>
  <si>
    <t>Ｂ：</t>
    <phoneticPr fontId="1"/>
  </si>
  <si>
    <t>A1：競争力強化 中小　 助成率1/2以内</t>
  </si>
  <si>
    <t>Ⅰ．A1</t>
    <phoneticPr fontId="1"/>
  </si>
  <si>
    <t>Ⅰ．A2</t>
    <phoneticPr fontId="1"/>
  </si>
  <si>
    <t>Ⅰ．B1</t>
    <phoneticPr fontId="1"/>
  </si>
  <si>
    <t>Ⅰ．B2</t>
    <phoneticPr fontId="1"/>
  </si>
  <si>
    <t>競争力・ｾﾞﾛｴﾐ（中小）</t>
    <rPh sb="0" eb="3">
      <t>キョウソウリョク</t>
    </rPh>
    <rPh sb="10" eb="12">
      <t>チュウショウ</t>
    </rPh>
    <phoneticPr fontId="1"/>
  </si>
  <si>
    <t>競争力・ｾﾞﾛｴﾐ（中小ｾﾞﾛｴﾐ）</t>
    <rPh sb="0" eb="3">
      <t>キョウソウリョク</t>
    </rPh>
    <rPh sb="10" eb="12">
      <t>チュウショウ</t>
    </rPh>
    <phoneticPr fontId="1"/>
  </si>
  <si>
    <t>競争力・ｾﾞﾛｴﾐ（小規模）</t>
    <rPh sb="0" eb="3">
      <t>キョウソウリョク</t>
    </rPh>
    <rPh sb="10" eb="13">
      <t>ショウキボ</t>
    </rPh>
    <phoneticPr fontId="1"/>
  </si>
  <si>
    <t>競争力・ｾﾞﾛｴﾐ（小規模ｾﾞﾛｴﾐ）</t>
    <rPh sb="0" eb="3">
      <t>キョウソウリョク</t>
    </rPh>
    <rPh sb="12" eb="16">
      <t>ゼロエミ</t>
    </rPh>
    <phoneticPr fontId="1"/>
  </si>
  <si>
    <t>Ⅰ．A1 中小</t>
    <rPh sb="5" eb="7">
      <t>チュウショウ</t>
    </rPh>
    <phoneticPr fontId="1"/>
  </si>
  <si>
    <t>Ⅰ．B1 小規模</t>
    <rPh sb="5" eb="8">
      <t>ショウキボ</t>
    </rPh>
    <phoneticPr fontId="1"/>
  </si>
  <si>
    <t>A1中小</t>
    <rPh sb="2" eb="4">
      <t>チュウショウ</t>
    </rPh>
    <phoneticPr fontId="1"/>
  </si>
  <si>
    <t>A2中小ｾﾞﾛｴﾐ</t>
    <rPh sb="2" eb="4">
      <t>チュウショウ</t>
    </rPh>
    <phoneticPr fontId="1"/>
  </si>
  <si>
    <t>B1小規模</t>
    <rPh sb="2" eb="5">
      <t>ショウキボ</t>
    </rPh>
    <phoneticPr fontId="1"/>
  </si>
  <si>
    <t>B2小規模ｾﾞﾛｴﾐ</t>
    <rPh sb="2" eb="5">
      <t>ショウキボ</t>
    </rPh>
    <phoneticPr fontId="1"/>
  </si>
  <si>
    <t>第３回から変更</t>
    <rPh sb="0" eb="1">
      <t>ダイ</t>
    </rPh>
    <rPh sb="2" eb="3">
      <t>カイ</t>
    </rPh>
    <rPh sb="5" eb="7">
      <t>ヘンコウ</t>
    </rPh>
    <phoneticPr fontId="1"/>
  </si>
  <si>
    <t>①</t>
    <phoneticPr fontId="1"/>
  </si>
  <si>
    <t>②</t>
    <phoneticPr fontId="1"/>
  </si>
  <si>
    <t>③</t>
    <phoneticPr fontId="1"/>
  </si>
  <si>
    <t>円</t>
    <rPh sb="0" eb="1">
      <t>エン</t>
    </rPh>
    <phoneticPr fontId="1"/>
  </si>
  <si>
    <r>
      <t>全事業所</t>
    </r>
    <r>
      <rPr>
        <sz val="8"/>
        <color theme="1"/>
        <rFont val="ＭＳ 明朝"/>
        <family val="1"/>
        <charset val="128"/>
      </rPr>
      <t>（5ｹ所以上はその他欄へ記入）</t>
    </r>
    <rPh sb="0" eb="1">
      <t>ゼン</t>
    </rPh>
    <rPh sb="1" eb="4">
      <t>ジギョウショ</t>
    </rPh>
    <rPh sb="7" eb="8">
      <t>ショ</t>
    </rPh>
    <rPh sb="8" eb="10">
      <t>イジョウ</t>
    </rPh>
    <rPh sb="13" eb="14">
      <t>タ</t>
    </rPh>
    <rPh sb="14" eb="15">
      <t>ラン</t>
    </rPh>
    <rPh sb="16" eb="18">
      <t>キニュウ</t>
    </rPh>
    <phoneticPr fontId="1"/>
  </si>
  <si>
    <t>助成率３/４又は２/３以内・助成限度額１億円</t>
    <rPh sb="6" eb="7">
      <t>マタ</t>
    </rPh>
    <rPh sb="11" eb="13">
      <t>イナイ</t>
    </rPh>
    <phoneticPr fontId="1"/>
  </si>
  <si>
    <r>
      <t>助成金交付申請額(</t>
    </r>
    <r>
      <rPr>
        <b/>
        <sz val="10"/>
        <color rgb="FFFF0000"/>
        <rFont val="ＭＳ 明朝"/>
        <family val="1"/>
        <charset val="128"/>
      </rPr>
      <t>※</t>
    </r>
    <r>
      <rPr>
        <sz val="10"/>
        <rFont val="ＭＳ 明朝"/>
        <family val="1"/>
        <charset val="128"/>
      </rPr>
      <t>)</t>
    </r>
    <phoneticPr fontId="24"/>
  </si>
  <si>
    <t>※</t>
    <phoneticPr fontId="1"/>
  </si>
  <si>
    <t>α</t>
    <phoneticPr fontId="1"/>
  </si>
  <si>
    <t>β</t>
    <phoneticPr fontId="1"/>
  </si>
  <si>
    <t>A2α：競争力ｾﾞﾛｴﾐ 中小　助成率3/4～1/2以内</t>
    <phoneticPr fontId="18"/>
  </si>
  <si>
    <t>A2β：競争力ｾﾞﾛｴﾐ 中小　助成率3/4～2/3以内</t>
    <phoneticPr fontId="1"/>
  </si>
  <si>
    <t>B1：競争力強化 小規模　助成率2/3以内</t>
    <phoneticPr fontId="18"/>
  </si>
  <si>
    <t>上限１億</t>
    <rPh sb="0" eb="2">
      <t>ジョウゲン</t>
    </rPh>
    <rPh sb="3" eb="4">
      <t>オク</t>
    </rPh>
    <phoneticPr fontId="1"/>
  </si>
  <si>
    <t>上限３千万円</t>
    <rPh sb="0" eb="2">
      <t>ジョウゲン</t>
    </rPh>
    <rPh sb="3" eb="4">
      <t>セン</t>
    </rPh>
    <rPh sb="4" eb="6">
      <t>マンエン</t>
    </rPh>
    <phoneticPr fontId="1"/>
  </si>
  <si>
    <t>B2β：競争力ｾﾞﾛｴﾐ 小規模　助成率3/4～2/3以内</t>
    <phoneticPr fontId="1"/>
  </si>
  <si>
    <t>合計</t>
    <rPh sb="0" eb="2">
      <t>ゴウケイ</t>
    </rPh>
    <phoneticPr fontId="1"/>
  </si>
  <si>
    <t>総合計３千万円以下</t>
    <rPh sb="0" eb="3">
      <t>ソウゴウケイ</t>
    </rPh>
    <rPh sb="4" eb="5">
      <t>セン</t>
    </rPh>
    <rPh sb="5" eb="7">
      <t>マンエン</t>
    </rPh>
    <rPh sb="7" eb="9">
      <t>イカ</t>
    </rPh>
    <phoneticPr fontId="1"/>
  </si>
  <si>
    <t>総合計１億以下</t>
    <rPh sb="0" eb="3">
      <t>ソウゴウケイ</t>
    </rPh>
    <rPh sb="4" eb="5">
      <t>オク</t>
    </rPh>
    <rPh sb="5" eb="7">
      <t>イカ</t>
    </rPh>
    <phoneticPr fontId="1"/>
  </si>
  <si>
    <t>助成金交付申請額①</t>
    <rPh sb="0" eb="3">
      <t>ジョセイキン</t>
    </rPh>
    <rPh sb="3" eb="5">
      <t>コウフ</t>
    </rPh>
    <rPh sb="5" eb="8">
      <t>シンセイガク</t>
    </rPh>
    <phoneticPr fontId="1"/>
  </si>
  <si>
    <t>助成金交付申請額②</t>
    <rPh sb="0" eb="3">
      <t>ジョセイキン</t>
    </rPh>
    <rPh sb="3" eb="5">
      <t>コウフ</t>
    </rPh>
    <rPh sb="5" eb="8">
      <t>シンセイガク</t>
    </rPh>
    <phoneticPr fontId="1"/>
  </si>
  <si>
    <t>助成金交付申請額③</t>
    <rPh sb="0" eb="3">
      <t>ジョセイキン</t>
    </rPh>
    <rPh sb="3" eb="5">
      <t>コウフ</t>
    </rPh>
    <rPh sb="5" eb="8">
      <t>シンセイガク</t>
    </rPh>
    <phoneticPr fontId="1"/>
  </si>
  <si>
    <t>W6のB2α区分用</t>
    <rPh sb="6" eb="8">
      <t>クブン</t>
    </rPh>
    <rPh sb="8" eb="9">
      <t>ヨウ</t>
    </rPh>
    <phoneticPr fontId="1"/>
  </si>
  <si>
    <t>標準 最低</t>
    <rPh sb="0" eb="2">
      <t>ヒョウジュン</t>
    </rPh>
    <rPh sb="3" eb="5">
      <t>サイテイ</t>
    </rPh>
    <phoneticPr fontId="1"/>
  </si>
  <si>
    <t>ｾﾞﾛｴﾐ 3/4</t>
    <phoneticPr fontId="1"/>
  </si>
  <si>
    <t>ｾﾞﾛｴﾐ 2/3</t>
    <phoneticPr fontId="1"/>
  </si>
  <si>
    <t>W4のA2αの区分用</t>
    <rPh sb="7" eb="10">
      <t>クブンヨウ</t>
    </rPh>
    <phoneticPr fontId="1"/>
  </si>
  <si>
    <t>ｾﾞﾛｴﾐ適用不可の場合の審査継続意思
α／β</t>
    <rPh sb="5" eb="7">
      <t>テキヨウ</t>
    </rPh>
    <rPh sb="7" eb="9">
      <t>フカ</t>
    </rPh>
    <rPh sb="10" eb="12">
      <t>バアイ</t>
    </rPh>
    <rPh sb="13" eb="17">
      <t>シンサケイゾク</t>
    </rPh>
    <rPh sb="17" eb="19">
      <t>イシ</t>
    </rPh>
    <phoneticPr fontId="1"/>
  </si>
  <si>
    <r>
      <t>申請書4　助成金交付申請額</t>
    </r>
    <r>
      <rPr>
        <b/>
        <sz val="10"/>
        <color rgb="FFFF0000"/>
        <rFont val="ＭＳ 明朝"/>
        <family val="1"/>
        <charset val="128"/>
      </rPr>
      <t>①</t>
    </r>
    <rPh sb="5" eb="8">
      <t>ジョセイキン</t>
    </rPh>
    <rPh sb="8" eb="10">
      <t>コウフ</t>
    </rPh>
    <rPh sb="10" eb="12">
      <t>シンセイ</t>
    </rPh>
    <rPh sb="12" eb="13">
      <t>ガク</t>
    </rPh>
    <phoneticPr fontId="1"/>
  </si>
  <si>
    <r>
      <t>申請書4　助成金交付申請額</t>
    </r>
    <r>
      <rPr>
        <b/>
        <sz val="10"/>
        <color rgb="FFFF0000"/>
        <rFont val="ＭＳ 明朝"/>
        <family val="1"/>
        <charset val="128"/>
      </rPr>
      <t>②</t>
    </r>
    <rPh sb="5" eb="8">
      <t>ジョセイキン</t>
    </rPh>
    <rPh sb="8" eb="10">
      <t>コウフ</t>
    </rPh>
    <rPh sb="10" eb="12">
      <t>シンセイ</t>
    </rPh>
    <rPh sb="12" eb="13">
      <t>ガク</t>
    </rPh>
    <phoneticPr fontId="1"/>
  </si>
  <si>
    <r>
      <t>申請書4　助成金交付申請額</t>
    </r>
    <r>
      <rPr>
        <b/>
        <sz val="10"/>
        <color rgb="FFFF0000"/>
        <rFont val="ＭＳ 明朝"/>
        <family val="1"/>
        <charset val="128"/>
      </rPr>
      <t>③</t>
    </r>
    <rPh sb="5" eb="8">
      <t>ジョセイキン</t>
    </rPh>
    <rPh sb="8" eb="10">
      <t>コウフ</t>
    </rPh>
    <rPh sb="10" eb="12">
      <t>シンセイ</t>
    </rPh>
    <rPh sb="12" eb="13">
      <t>ガク</t>
    </rPh>
    <phoneticPr fontId="1"/>
  </si>
  <si>
    <t>採択時の助成金交付申請額（審査後の最終決定額）</t>
    <rPh sb="0" eb="2">
      <t>サイタク</t>
    </rPh>
    <rPh sb="2" eb="3">
      <t>ジ</t>
    </rPh>
    <rPh sb="4" eb="7">
      <t>ジョセイキン</t>
    </rPh>
    <rPh sb="7" eb="9">
      <t>コウフ</t>
    </rPh>
    <rPh sb="9" eb="12">
      <t>シンセイガク</t>
    </rPh>
    <rPh sb="13" eb="16">
      <t>シンサゴ</t>
    </rPh>
    <rPh sb="17" eb="21">
      <t>サイシュウケッテイ</t>
    </rPh>
    <rPh sb="21" eb="22">
      <t>ガク</t>
    </rPh>
    <phoneticPr fontId="1"/>
  </si>
  <si>
    <t>　★警告）本シートは東京都中小企業振興公社　設備支援課　事務局が使用する専用のsheetです　：使用不可（操作禁止）</t>
    <rPh sb="2" eb="4">
      <t>ケイコク</t>
    </rPh>
    <rPh sb="5" eb="6">
      <t>ホン</t>
    </rPh>
    <rPh sb="10" eb="13">
      <t>トウキョウト</t>
    </rPh>
    <rPh sb="13" eb="15">
      <t>チュウショウ</t>
    </rPh>
    <rPh sb="15" eb="17">
      <t>キギョウ</t>
    </rPh>
    <rPh sb="17" eb="21">
      <t>シンコウコウシャ</t>
    </rPh>
    <rPh sb="22" eb="24">
      <t>セツビ</t>
    </rPh>
    <rPh sb="24" eb="27">
      <t>シエンカ</t>
    </rPh>
    <rPh sb="28" eb="31">
      <t>ジムキョク</t>
    </rPh>
    <rPh sb="32" eb="34">
      <t>シヨウ</t>
    </rPh>
    <rPh sb="36" eb="38">
      <t>センヨウ</t>
    </rPh>
    <rPh sb="48" eb="52">
      <t>シヨウフカ</t>
    </rPh>
    <rPh sb="53" eb="55">
      <t>ソウサ</t>
    </rPh>
    <rPh sb="55" eb="57">
      <t>キンシ</t>
    </rPh>
    <phoneticPr fontId="1"/>
  </si>
  <si>
    <t>M　宿泊業、飲食サービス業</t>
  </si>
  <si>
    <t>A　農業、林業</t>
  </si>
  <si>
    <t>C　鉱業、採石業、砂利採取業</t>
  </si>
  <si>
    <t>H　運輸業、郵便業</t>
  </si>
  <si>
    <t>I　卸売業、小売業</t>
  </si>
  <si>
    <t>J　金融業、保険業</t>
  </si>
  <si>
    <t>K　不動産業、物品賃貸業</t>
  </si>
  <si>
    <t>L　学術研究、専門・技術サービス業</t>
  </si>
  <si>
    <t>N　生活関連サービス業、娯楽業</t>
  </si>
  <si>
    <t>O　教育、学習支援業</t>
  </si>
  <si>
    <t>P　医療、福祉</t>
  </si>
  <si>
    <t xml:space="preserve"> </t>
    <phoneticPr fontId="1"/>
  </si>
  <si>
    <t>3/4以内</t>
    <rPh sb="3" eb="5">
      <t>イナイ</t>
    </rPh>
    <phoneticPr fontId="1"/>
  </si>
  <si>
    <t>A2:</t>
  </si>
  <si>
    <t>B2:</t>
  </si>
  <si>
    <t>B3:</t>
  </si>
  <si>
    <r>
      <t>←</t>
    </r>
    <r>
      <rPr>
        <sz val="9"/>
        <color theme="1"/>
        <rFont val="ＭＳ ゴシック"/>
        <family val="3"/>
        <charset val="128"/>
      </rPr>
      <t xml:space="preserve">※ </t>
    </r>
    <phoneticPr fontId="1"/>
  </si>
  <si>
    <t>小規模企業者賃上げ</t>
    <rPh sb="0" eb="3">
      <t>ショウキボ</t>
    </rPh>
    <phoneticPr fontId="1"/>
  </si>
  <si>
    <t>中小企業者賃上げ</t>
    <phoneticPr fontId="1"/>
  </si>
  <si>
    <t>A3α：競争力賃上げ 中小　助成率3/4～1/2以内</t>
    <phoneticPr fontId="1"/>
  </si>
  <si>
    <t>A3β：競争力賃上げ 中小　助成率3/4～1/2以内</t>
    <phoneticPr fontId="1"/>
  </si>
  <si>
    <t>B3α：競争力賃上げ 小規模　助成率3/4～2/3以内</t>
    <phoneticPr fontId="1"/>
  </si>
  <si>
    <t>B3β：競争力賃上げ 小規模　助成率3/4～2/3以内</t>
    <phoneticPr fontId="1"/>
  </si>
  <si>
    <t>機械　最高</t>
    <rPh sb="0" eb="2">
      <t>キカイ</t>
    </rPh>
    <rPh sb="3" eb="5">
      <t>サイコウ</t>
    </rPh>
    <phoneticPr fontId="1"/>
  </si>
  <si>
    <t>機械　最低</t>
    <rPh sb="0" eb="2">
      <t>キカイ</t>
    </rPh>
    <rPh sb="3" eb="5">
      <t>サイテイ</t>
    </rPh>
    <phoneticPr fontId="1"/>
  </si>
  <si>
    <t>ソフト　最高</t>
    <rPh sb="4" eb="6">
      <t>サイコウ</t>
    </rPh>
    <phoneticPr fontId="1"/>
  </si>
  <si>
    <t>ソフト　最低</t>
    <rPh sb="4" eb="6">
      <t>サイテイ</t>
    </rPh>
    <phoneticPr fontId="1"/>
  </si>
  <si>
    <t>区分</t>
    <rPh sb="0" eb="2">
      <t>クブン</t>
    </rPh>
    <phoneticPr fontId="1"/>
  </si>
  <si>
    <t>計　最高</t>
    <rPh sb="0" eb="1">
      <t>ケイ</t>
    </rPh>
    <rPh sb="2" eb="4">
      <t>サイコウ</t>
    </rPh>
    <phoneticPr fontId="1"/>
  </si>
  <si>
    <t>計　最低</t>
    <rPh sb="0" eb="1">
      <t>ケイ</t>
    </rPh>
    <rPh sb="2" eb="4">
      <t>サイテイ</t>
    </rPh>
    <phoneticPr fontId="1"/>
  </si>
  <si>
    <t>競争力・ｾﾞﾛｴﾐ（中小賃上）</t>
    <rPh sb="0" eb="3">
      <t>キョウソウリョク</t>
    </rPh>
    <rPh sb="10" eb="12">
      <t>チュウショウ</t>
    </rPh>
    <rPh sb="12" eb="14">
      <t>チンア</t>
    </rPh>
    <phoneticPr fontId="1"/>
  </si>
  <si>
    <t>競争力・ｾﾞﾛｴﾐ（小規模賃上）</t>
    <rPh sb="0" eb="3">
      <t>キョウソウリョク</t>
    </rPh>
    <rPh sb="12" eb="13">
      <t>チン</t>
    </rPh>
    <rPh sb="13" eb="14">
      <t>ジョウ</t>
    </rPh>
    <rPh sb="14" eb="15">
      <t>）</t>
    </rPh>
    <phoneticPr fontId="1"/>
  </si>
  <si>
    <t>3/4以内</t>
    <phoneticPr fontId="1"/>
  </si>
  <si>
    <t>第６回から変更</t>
    <rPh sb="0" eb="1">
      <t>ダイ</t>
    </rPh>
    <rPh sb="2" eb="3">
      <t>カイ</t>
    </rPh>
    <rPh sb="5" eb="7">
      <t>ヘンコウ</t>
    </rPh>
    <phoneticPr fontId="1"/>
  </si>
  <si>
    <t>助成金交付申請額(MAX)/合計</t>
    <phoneticPr fontId="1"/>
  </si>
  <si>
    <r>
      <t>助成金交付申請額(MAX)/</t>
    </r>
    <r>
      <rPr>
        <sz val="10"/>
        <color theme="1"/>
        <rFont val="ＭＳ 明朝"/>
        <family val="1"/>
        <charset val="128"/>
      </rPr>
      <t>ソフトウェア</t>
    </r>
    <phoneticPr fontId="1"/>
  </si>
  <si>
    <t>助成金交付申請額(MAX)/機械設備等</t>
    <rPh sb="18" eb="19">
      <t>ナド</t>
    </rPh>
    <phoneticPr fontId="1"/>
  </si>
  <si>
    <r>
      <t>助成対象経費(税抜)/</t>
    </r>
    <r>
      <rPr>
        <sz val="10"/>
        <color theme="1"/>
        <rFont val="ＭＳ 明朝"/>
        <family val="1"/>
        <charset val="128"/>
      </rPr>
      <t>ソフトウェア</t>
    </r>
    <phoneticPr fontId="1"/>
  </si>
  <si>
    <t>助成対象経費(税抜)/機械設備等</t>
    <rPh sb="15" eb="16">
      <t>ナド</t>
    </rPh>
    <phoneticPr fontId="1"/>
  </si>
  <si>
    <t>申請者区分 B1</t>
    <rPh sb="0" eb="3">
      <t>シンセイシャ</t>
    </rPh>
    <rPh sb="3" eb="5">
      <t>クブン</t>
    </rPh>
    <phoneticPr fontId="18"/>
  </si>
  <si>
    <t>令和７年９月</t>
    <rPh sb="0" eb="2">
      <t>レイワ</t>
    </rPh>
    <rPh sb="3" eb="4">
      <t>ネン</t>
    </rPh>
    <rPh sb="5" eb="6">
      <t>ガツ</t>
    </rPh>
    <phoneticPr fontId="1"/>
  </si>
  <si>
    <t>助成率３/４以内・助成限度額１億円</t>
    <rPh sb="6" eb="8">
      <t>イナイ</t>
    </rPh>
    <phoneticPr fontId="1"/>
  </si>
  <si>
    <t>B2α：競争力ｾﾞﾛｴﾐ 小規模　助成率3/4～2/3以内</t>
    <rPh sb="4" eb="7">
      <t>キョウソウリョク</t>
    </rPh>
    <rPh sb="13" eb="15">
      <t>ショウキボ</t>
    </rPh>
    <rPh sb="15" eb="16">
      <t>　</t>
    </rPh>
    <rPh sb="17" eb="18">
      <t>ジョセイ</t>
    </rPh>
    <rPh sb="18" eb="19">
      <t>リツ</t>
    </rPh>
    <rPh sb="19" eb="20">
      <t>３</t>
    </rPh>
    <rPh sb="26" eb="28">
      <t>イナイ</t>
    </rPh>
    <rPh sb="28" eb="29">
      <t>　</t>
    </rPh>
    <phoneticPr fontId="18"/>
  </si>
  <si>
    <t>(4)</t>
  </si>
  <si>
    <t>申請書11　加点措置(4)</t>
    <rPh sb="6" eb="10">
      <t>カテンソチ</t>
    </rPh>
    <phoneticPr fontId="1"/>
  </si>
  <si>
    <t>申請書11　加点措置(1)/(2)</t>
    <rPh sb="6" eb="10">
      <t>カテンソチ</t>
    </rPh>
    <phoneticPr fontId="1"/>
  </si>
  <si>
    <t>仕入先</t>
    <rPh sb="0" eb="2">
      <t>シイレ</t>
    </rPh>
    <rPh sb="2" eb="3">
      <t>サキ</t>
    </rPh>
    <phoneticPr fontId="1"/>
  </si>
  <si>
    <r>
      <t>持ち株数</t>
    </r>
    <r>
      <rPr>
        <sz val="9"/>
        <color theme="1"/>
        <rFont val="ＭＳ 明朝"/>
        <family val="1"/>
        <charset val="128"/>
      </rPr>
      <t>（株）</t>
    </r>
    <rPh sb="0" eb="1">
      <t>モ</t>
    </rPh>
    <rPh sb="2" eb="3">
      <t>カブ</t>
    </rPh>
    <rPh sb="3" eb="4">
      <t>スウ</t>
    </rPh>
    <rPh sb="5" eb="6">
      <t>カブ</t>
    </rPh>
    <phoneticPr fontId="1"/>
  </si>
  <si>
    <t>8)</t>
  </si>
  <si>
    <t>9)</t>
  </si>
  <si>
    <t>10)</t>
  </si>
  <si>
    <t>11)</t>
  </si>
  <si>
    <t>12)</t>
  </si>
  <si>
    <t>13)</t>
  </si>
  <si>
    <t>14)</t>
  </si>
  <si>
    <t>15)</t>
  </si>
  <si>
    <t>16)</t>
  </si>
  <si>
    <t>17)</t>
  </si>
  <si>
    <t>18)</t>
  </si>
  <si>
    <t>19)</t>
  </si>
  <si>
    <t>20)</t>
  </si>
  <si>
    <t xml:space="preserve"> 上記(1)～(4)の適用に対応した資料添付有り</t>
    <rPh sb="9" eb="11">
      <t>テキヨウ</t>
    </rPh>
    <rPh sb="12" eb="14">
      <t>タイオウ</t>
    </rPh>
    <rPh sb="15" eb="17">
      <t>シリョウ</t>
    </rPh>
    <rPh sb="17" eb="19">
      <t>テンプ</t>
    </rPh>
    <rPh sb="20" eb="21">
      <t>ア</t>
    </rPh>
    <phoneticPr fontId="1"/>
  </si>
  <si>
    <t>８</t>
    <phoneticPr fontId="1"/>
  </si>
  <si>
    <t>Ｃ：</t>
    <phoneticPr fontId="1"/>
  </si>
  <si>
    <t>C1:</t>
    <phoneticPr fontId="1"/>
  </si>
  <si>
    <t>C2:</t>
  </si>
  <si>
    <t>C3:</t>
  </si>
  <si>
    <t>ゼロエミ</t>
    <phoneticPr fontId="1"/>
  </si>
  <si>
    <t>DX推進</t>
    <rPh sb="2" eb="4">
      <t>スイシン</t>
    </rPh>
    <phoneticPr fontId="1"/>
  </si>
  <si>
    <t>賃上げ</t>
    <rPh sb="0" eb="2">
      <t>チンア</t>
    </rPh>
    <phoneticPr fontId="1"/>
  </si>
  <si>
    <t>助成率３/４以内・助成限度額１億円</t>
    <phoneticPr fontId="1"/>
  </si>
  <si>
    <t>Ｄ：</t>
    <phoneticPr fontId="1"/>
  </si>
  <si>
    <t>D1:ｲﾉﾍﾞｰｼｮﾝ</t>
    <phoneticPr fontId="1"/>
  </si>
  <si>
    <t>D2:ゼロエミ</t>
    <phoneticPr fontId="1"/>
  </si>
  <si>
    <t>D3: 賃上げ</t>
    <rPh sb="4" eb="6">
      <t>チンア</t>
    </rPh>
    <phoneticPr fontId="1"/>
  </si>
  <si>
    <t>Ｅ：</t>
    <phoneticPr fontId="1"/>
  </si>
  <si>
    <t>E1:後継者ﾁｬﾚﾝｼﾞ</t>
    <rPh sb="3" eb="6">
      <t>コウケイシャ</t>
    </rPh>
    <phoneticPr fontId="1"/>
  </si>
  <si>
    <t>E2:ゼロエミ</t>
    <phoneticPr fontId="1"/>
  </si>
  <si>
    <t>E3:賃上げ</t>
    <rPh sb="3" eb="5">
      <t>チンア</t>
    </rPh>
    <phoneticPr fontId="1"/>
  </si>
  <si>
    <t>競争力強化</t>
    <rPh sb="0" eb="3">
      <t>キョウソウリョク</t>
    </rPh>
    <rPh sb="3" eb="5">
      <t>キョウカ</t>
    </rPh>
    <phoneticPr fontId="1"/>
  </si>
  <si>
    <t>13</t>
    <phoneticPr fontId="1"/>
  </si>
  <si>
    <t>15　収支計画</t>
    <rPh sb="3" eb="5">
      <t>シュウシ</t>
    </rPh>
    <rPh sb="5" eb="7">
      <t>ケイカク</t>
    </rPh>
    <phoneticPr fontId="1"/>
  </si>
  <si>
    <r>
      <t>事業区分／申請者区分補足</t>
    </r>
    <r>
      <rPr>
        <b/>
        <sz val="9"/>
        <color theme="1"/>
        <rFont val="ＭＳ ゴシック"/>
        <family val="3"/>
        <charset val="128"/>
      </rPr>
      <t>（「ｾﾞﾛｴﾐ」、「賃上げ」適用を選択するときのみ必須項目）</t>
    </r>
    <rPh sb="10" eb="12">
      <t>ホソク</t>
    </rPh>
    <rPh sb="21" eb="24">
      <t>チンアゲ</t>
    </rPh>
    <rPh sb="25" eb="28">
      <t>テキヨウヲ</t>
    </rPh>
    <rPh sb="30" eb="32">
      <t>スル</t>
    </rPh>
    <rPh sb="37" eb="39">
      <t>ヒッス</t>
    </rPh>
    <rPh sb="39" eb="41">
      <t>コウモク</t>
    </rPh>
    <phoneticPr fontId="1"/>
  </si>
  <si>
    <t>各区分の「ｾﾞﾛｴﾐ」・「賃上げ」適用を希望したが、審査の結果「ｾﾞﾛｴﾐ」・「賃上げ」不適となった場合、助成率が低い「Ａ1」「Ｂ1」「Ｃ1」「Ｄ1」「Ｅ1」区分へ変更して審査継続を希望する場合は「α」、継続を希望しない場合は「β」を選択（採択を保証するものではありません）</t>
    <rPh sb="0" eb="1">
      <t>カク</t>
    </rPh>
    <rPh sb="13" eb="15">
      <t>チンア</t>
    </rPh>
    <phoneticPr fontId="1"/>
  </si>
  <si>
    <r>
      <t>他の助成金申請等状況・過去採択実績</t>
    </r>
    <r>
      <rPr>
        <b/>
        <sz val="9"/>
        <color theme="1"/>
        <rFont val="ＭＳ ゴシック"/>
        <family val="3"/>
        <charset val="128"/>
      </rPr>
      <t>（過去５年分／設備投資に関する代表的なもの）</t>
    </r>
    <rPh sb="0" eb="1">
      <t>タ</t>
    </rPh>
    <rPh sb="2" eb="5">
      <t>ジョセイキン</t>
    </rPh>
    <rPh sb="5" eb="7">
      <t>シンセイ</t>
    </rPh>
    <rPh sb="7" eb="8">
      <t>トウ</t>
    </rPh>
    <rPh sb="8" eb="10">
      <t>ジョウキョウ</t>
    </rPh>
    <rPh sb="11" eb="13">
      <t>カコ</t>
    </rPh>
    <rPh sb="13" eb="15">
      <t>サイタク</t>
    </rPh>
    <rPh sb="15" eb="17">
      <t>ジッセキ</t>
    </rPh>
    <rPh sb="18" eb="20">
      <t>カコ</t>
    </rPh>
    <rPh sb="21" eb="23">
      <t>ネンブン</t>
    </rPh>
    <rPh sb="24" eb="28">
      <t>セツビトウシ</t>
    </rPh>
    <rPh sb="29" eb="30">
      <t>カン</t>
    </rPh>
    <rPh sb="32" eb="35">
      <t>ダイヒョウテキ</t>
    </rPh>
    <phoneticPr fontId="1"/>
  </si>
  <si>
    <t>※　無償で土地や建物を使用する「使用貸借」契約は設置場所として認められません。
※　決算書等で自社所有及び賃貸借の状態が確認できない場合、別途契約書の提出を依頼
　することがあります。</t>
    <rPh sb="24" eb="26">
      <t>セッチ</t>
    </rPh>
    <rPh sb="26" eb="28">
      <t>バショ</t>
    </rPh>
    <rPh sb="57" eb="59">
      <t>ジョウタイ</t>
    </rPh>
    <phoneticPr fontId="1"/>
  </si>
  <si>
    <t>30,000,000円</t>
    <phoneticPr fontId="18"/>
  </si>
  <si>
    <t>申請者区分のｾﾞﾛｴﾐ適用及び賃上げ適用を選択した申請者は、条件に応じて想定可能な最低の助成率、助成金下限予定額で算出。</t>
    <rPh sb="51" eb="52">
      <t>シタ</t>
    </rPh>
    <rPh sb="53" eb="55">
      <t>ヨテイ</t>
    </rPh>
    <rPh sb="57" eb="59">
      <t>サンシュツ</t>
    </rPh>
    <phoneticPr fontId="1"/>
  </si>
  <si>
    <t>「助成金交付申請額」とは、助成金の交付を希望する額で「助成対象経費」に助成率を乗じた金額（千円未満切り捨て、助成限度額以内・助成下限額以上）となります（自動計算）。</t>
    <rPh sb="76" eb="78">
      <t>ジドウ</t>
    </rPh>
    <rPh sb="78" eb="80">
      <t>ケイサン</t>
    </rPh>
    <phoneticPr fontId="18"/>
  </si>
  <si>
    <t>申請者区分のｾﾞﾛｴﾐ適用及び賃上げ適用を選択した申請者は、条件に応じて想定可能な最低の助成率、助成金下限額で資金計画を作成してください</t>
    <rPh sb="13" eb="14">
      <t>オヨ</t>
    </rPh>
    <rPh sb="15" eb="17">
      <t>チンア</t>
    </rPh>
    <rPh sb="18" eb="20">
      <t>テキヨウ</t>
    </rPh>
    <rPh sb="30" eb="32">
      <t>ジョウケン</t>
    </rPh>
    <rPh sb="33" eb="34">
      <t>オウ</t>
    </rPh>
    <rPh sb="36" eb="40">
      <t>ソウテイカノウ</t>
    </rPh>
    <rPh sb="51" eb="53">
      <t>カゲン</t>
    </rPh>
    <phoneticPr fontId="1"/>
  </si>
  <si>
    <t>試みの使用期間中の者で、14日を超えて勤務している者</t>
    <phoneticPr fontId="1"/>
  </si>
  <si>
    <t>中小企業者ｾﾞﾛｴﾐ【省ｴﾈ】</t>
    <phoneticPr fontId="1"/>
  </si>
  <si>
    <t>中小企業者ｾﾞﾛｴﾐ【再ｴﾈ】</t>
    <rPh sb="11" eb="12">
      <t>サイ</t>
    </rPh>
    <phoneticPr fontId="1"/>
  </si>
  <si>
    <t>小規模企業者ｾﾞﾛｴﾐ【省ｴﾈ】</t>
    <rPh sb="0" eb="3">
      <t>ショウキボ</t>
    </rPh>
    <phoneticPr fontId="1"/>
  </si>
  <si>
    <t>小規模企業者ｾﾞﾛｴﾐ【再ｴﾈ】</t>
    <rPh sb="0" eb="3">
      <t>ショウキボ</t>
    </rPh>
    <phoneticPr fontId="1"/>
  </si>
  <si>
    <t>A3:</t>
  </si>
  <si>
    <t>B4:</t>
  </si>
  <si>
    <r>
      <t xml:space="preserve">
１　次の(1)～(7)のいずれかに該当する法人、個人事業者、又は中小企業団体等である
　(1) 製造業・その他業種：資本金３億円以下又は従業員300人以下
　(2) 卸売業：資本金１億円以下又は従業員100人以下
　(3) サービス業：資本金5,000万円以下又は従業員100人以下
　(4) 小売業：資本金5,000万円以下又は従業員50人以下
　(5) ゴム製品製造業の一部：資本金３億円以下又は従業員900人以下
　(6) ソフトウェア業・情報処理サービス業：資本金３億円以下又は従業員300人以下
　(7) 旅館業：資本金5,000万円以下又は従業員200人以下
２　次の(1)～(4)をすべて満たしている
　(1) 大企業が単独で発行済株式総数又は出資総額の２分の１以上を所有又は出資していない
　(2) 大企業が複数で発行済株式総数又は出資総額の３分の２以上を所有又は出資していない
　(3) 役員総数の２分の１以上を大企業の役員又は従業員が兼務していない
　(4) 大企業が実質的な経営に参画していない　
３　基準日現在で東京都内に登記簿上の本店または支店がある。ただし、都外に設置の場合は、
　　都内に本店がある。個人事業者においては基準日現在で、東京都内に開業届出がある
４　都内事業所における常用の事業活動拠点としての事業継続が、基準日現在で２年以上である
５　税金等を滞納していない。また、東京都及び公社に対する賃料・使用料等の支払いに滞りがない
６　躍進的な事業推進のための設備投資支援事業の採択事業者は、基準日現在で確定していること
７　同一機械設備で公社が実施する他の助成事業に併願申請していない</t>
    </r>
    <r>
      <rPr>
        <sz val="11"/>
        <rFont val="ＭＳ Ｐ明朝"/>
        <family val="1"/>
        <charset val="128"/>
      </rPr>
      <t>（設備投資緊急支援事業を除く）</t>
    </r>
    <r>
      <rPr>
        <sz val="11"/>
        <color theme="1"/>
        <rFont val="ＭＳ Ｐ明朝"/>
        <family val="1"/>
        <charset val="128"/>
      </rPr>
      <t xml:space="preserve">
８　同一機械設備で公社･国・都道府県・区市町村等から助成を受けていない
９　申請日までの過去５年間に、公社・国・都道府県・区市町村等が実施する助成事業等に関して、
　　不正等の事故を起こしていない
10　過去に公社から助成金の交付を受けている者は、申請日までの過去５年間に「企業化状況報
　　告書」及び「事業化状況報告書」や「実施結果状況報告書」等を所定の期日までに提出して
　　いる
11　民事再生法、会社更生法、破産法に基づく申立・手続中（再生計画等認可決定確定後は除く）
　　または私的整理手続中ではない
12　助成事業の実施に当たって必要な許認可を取得し、関係法令を遵守すること
13　助成対象経費は親会社、子会社、グループ企業等関連会社（自社と資本関係のある会社、
　　役員もしくは従業員がコンサルタント契約や技術指導契約をしている会社等）との取引に
　　係る経費ではない
14　自社および設備購入先等の役職員及び関係者に、東京都暴力団排除条例に規定する暴力団関係
　　者はいない
15　自社および設備購入先等が、風俗営業等の規制及び業務の適正化等に関する法律第２条に規定
　　する風俗関連業、ギャンブル業、賭博等、その他支援の対象として社会通念上適切でないと
　　判断される業態を営むものではなく、関係もしていない
16　自社および設備購入先等が、連鎖販売取引、ネガティブ・オプション（送り付け商法）、催眠商法、
　　霊感商法など公的資金の助成先として適切でないと判断される業態を営むものではなく、関係も
　　していない
17　賃金引上げ計画を掲げ採択された助成事業者は、募集要項内「３　申請資格の要件（３）」 の規定を
    満たすこと
18　募集要項の内容をすべて確認し、申請書に虚偽記載はない　
　　　  　　　　　　　　　　　　　　　　　　　　　　　　　　　　　　　　　　　　　　　　　　　　　　　　　　　以上
　　　　　　　　　　　　　　　　　　　　　　　　　　　　　　　　　　　　　　　　　　　　　　　　　　　　　　　</t>
    </r>
    <rPh sb="507" eb="508">
      <t>ト</t>
    </rPh>
    <phoneticPr fontId="1"/>
  </si>
  <si>
    <t>申請事業区分［ＤＸ推進］において、公社が実施している「DX推進支援事業（（旧デジタル技術活用推進事業と旧企業変革DX事業）」の支援を受け、その支援内容に基づく申請者</t>
    <rPh sb="2" eb="4">
      <t>ジギョウ</t>
    </rPh>
    <rPh sb="17" eb="19">
      <t>コウシャ</t>
    </rPh>
    <rPh sb="20" eb="22">
      <t>ジッシ</t>
    </rPh>
    <rPh sb="29" eb="31">
      <t>スイシン</t>
    </rPh>
    <rPh sb="31" eb="33">
      <t>シエン</t>
    </rPh>
    <rPh sb="33" eb="35">
      <t>ジギョウ</t>
    </rPh>
    <rPh sb="63" eb="65">
      <t>シエン</t>
    </rPh>
    <rPh sb="66" eb="67">
      <t>ウ</t>
    </rPh>
    <rPh sb="71" eb="73">
      <t>シエン</t>
    </rPh>
    <rPh sb="73" eb="75">
      <t>ナイヨウ</t>
    </rPh>
    <rPh sb="76" eb="77">
      <t>モト</t>
    </rPh>
    <rPh sb="79" eb="81">
      <t>シンセイ</t>
    </rPh>
    <rPh sb="81" eb="82">
      <t>シャ</t>
    </rPh>
    <phoneticPr fontId="1"/>
  </si>
  <si>
    <t>申請事業区分［ＤＸ推進］において、公社が実施している「デジタル技術活用推進緊急支援事業」の支援を受け、その支援内容に基づく申請者</t>
    <rPh sb="0" eb="2">
      <t>シンセイ</t>
    </rPh>
    <rPh sb="2" eb="4">
      <t>ジギョウ</t>
    </rPh>
    <rPh sb="4" eb="6">
      <t>クブン</t>
    </rPh>
    <rPh sb="9" eb="11">
      <t>スイシン</t>
    </rPh>
    <rPh sb="17" eb="19">
      <t>コウシャ</t>
    </rPh>
    <rPh sb="20" eb="22">
      <t>ジッシ</t>
    </rPh>
    <rPh sb="45" eb="47">
      <t>シエン</t>
    </rPh>
    <rPh sb="48" eb="49">
      <t>ウ</t>
    </rPh>
    <rPh sb="53" eb="55">
      <t>シエン</t>
    </rPh>
    <rPh sb="55" eb="57">
      <t>ナイヨウ</t>
    </rPh>
    <rPh sb="58" eb="59">
      <t>モト</t>
    </rPh>
    <rPh sb="61" eb="64">
      <t>シンセイシャ</t>
    </rPh>
    <phoneticPr fontId="1"/>
  </si>
  <si>
    <t>Ⅰ．A4 中小賃上</t>
    <phoneticPr fontId="1"/>
  </si>
  <si>
    <t>Ⅰ．B4 小規模賃上</t>
    <rPh sb="5" eb="8">
      <t>ショウキボ</t>
    </rPh>
    <phoneticPr fontId="1"/>
  </si>
  <si>
    <t>Ⅰ．A2 中小ｾﾞﾛｴﾐ【省ｴﾈ】</t>
    <rPh sb="5" eb="7">
      <t>チュウショウ</t>
    </rPh>
    <phoneticPr fontId="1"/>
  </si>
  <si>
    <t>Ⅰ．A3 中小ｾﾞﾛｴﾐ【再ｴﾈ】</t>
    <rPh sb="13" eb="15">
      <t>エネ</t>
    </rPh>
    <phoneticPr fontId="1"/>
  </si>
  <si>
    <t>Ⅰ．B2 小規模ｾﾞﾛｴﾐ【省ｴﾈ】</t>
    <rPh sb="5" eb="8">
      <t>ショウキボ</t>
    </rPh>
    <phoneticPr fontId="1"/>
  </si>
  <si>
    <t>Ⅰ．B3 小規模ｾﾞﾛｴﾐ【再ｴﾈ】</t>
    <rPh sb="5" eb="8">
      <t>ショウキボ</t>
    </rPh>
    <rPh sb="14" eb="16">
      <t>エネ</t>
    </rPh>
    <phoneticPr fontId="1"/>
  </si>
  <si>
    <t>Ⅱ．C1 ＤＸ</t>
    <phoneticPr fontId="1"/>
  </si>
  <si>
    <t>Ⅱ．C1 ＤＸｾﾞﾛｴﾐ</t>
    <phoneticPr fontId="1"/>
  </si>
  <si>
    <t>Ⅱ．C1 ＤＸ賃上</t>
    <rPh sb="7" eb="9">
      <t>チンア</t>
    </rPh>
    <phoneticPr fontId="1"/>
  </si>
  <si>
    <t>Ⅲ．D2 イノベｾﾞﾛｴﾐ</t>
    <phoneticPr fontId="1"/>
  </si>
  <si>
    <t>Ⅲ．D3 イノベ賃上</t>
    <rPh sb="8" eb="10">
      <t>チンア</t>
    </rPh>
    <phoneticPr fontId="1"/>
  </si>
  <si>
    <t>Ⅳ．E3 後継者賃上</t>
    <rPh sb="5" eb="8">
      <t>コウケイシャ</t>
    </rPh>
    <rPh sb="8" eb="10">
      <t>チンア</t>
    </rPh>
    <phoneticPr fontId="1"/>
  </si>
  <si>
    <t>Ⅳ．E2 後継者ｾﾞﾛｴﾐ</t>
    <rPh sb="5" eb="8">
      <t>コウケイシャ</t>
    </rPh>
    <phoneticPr fontId="1"/>
  </si>
  <si>
    <t>Ⅲ．D1 イノベ</t>
    <phoneticPr fontId="1"/>
  </si>
  <si>
    <t>Ⅳ．E1 後継者</t>
    <rPh sb="5" eb="8">
      <t>コウケイシャ</t>
    </rPh>
    <phoneticPr fontId="1"/>
  </si>
  <si>
    <t>Ⅰ．B4</t>
    <phoneticPr fontId="1"/>
  </si>
  <si>
    <t>Ⅰ．A4</t>
    <phoneticPr fontId="1"/>
  </si>
  <si>
    <t>Ⅰ．B3</t>
    <phoneticPr fontId="1"/>
  </si>
  <si>
    <t>Ⅰ．A3</t>
    <phoneticPr fontId="1"/>
  </si>
  <si>
    <t>B4小規模賃上</t>
    <rPh sb="2" eb="5">
      <t>ショウキボ</t>
    </rPh>
    <rPh sb="5" eb="7">
      <t>チンア</t>
    </rPh>
    <phoneticPr fontId="1"/>
  </si>
  <si>
    <t>A4中小賃上</t>
    <rPh sb="2" eb="4">
      <t>チュウショウ</t>
    </rPh>
    <rPh sb="4" eb="6">
      <t>チンア</t>
    </rPh>
    <phoneticPr fontId="1"/>
  </si>
  <si>
    <t>B3小規模ｾﾞﾛｴﾐ</t>
    <rPh sb="2" eb="5">
      <t>ショウキボ</t>
    </rPh>
    <phoneticPr fontId="1"/>
  </si>
  <si>
    <t>A3中小ｾﾞﾛｴﾐ</t>
    <rPh sb="2" eb="4">
      <t>チュウショウ</t>
    </rPh>
    <phoneticPr fontId="1"/>
  </si>
  <si>
    <t>A4:</t>
    <phoneticPr fontId="1"/>
  </si>
  <si>
    <r>
      <t>申請書2
事業区分</t>
    </r>
    <r>
      <rPr>
        <sz val="11"/>
        <color rgb="FFFF0000"/>
        <rFont val="ＭＳ 明朝"/>
        <family val="1"/>
        <charset val="128"/>
      </rPr>
      <t>(ｲﾉﾍﾞｰｼｮﾝ新事業活動区分)</t>
    </r>
    <phoneticPr fontId="1"/>
  </si>
  <si>
    <r>
      <t xml:space="preserve">申請書2　事業区分
</t>
    </r>
    <r>
      <rPr>
        <sz val="11"/>
        <color rgb="FFFF0000"/>
        <rFont val="ＭＳ 明朝"/>
        <family val="1"/>
        <charset val="128"/>
      </rPr>
      <t>(DX推進技術分野/ｲﾉﾍﾞｰｼｮﾝ産業分野)</t>
    </r>
    <rPh sb="5" eb="7">
      <t>ジギョウ</t>
    </rPh>
    <rPh sb="7" eb="9">
      <t>クブン</t>
    </rPh>
    <rPh sb="13" eb="15">
      <t>スイシン</t>
    </rPh>
    <rPh sb="15" eb="17">
      <t>ギジュツ</t>
    </rPh>
    <rPh sb="17" eb="19">
      <t>ブンヤ</t>
    </rPh>
    <rPh sb="28" eb="30">
      <t>サンギョウ</t>
    </rPh>
    <rPh sb="30" eb="32">
      <t>ブンヤ</t>
    </rPh>
    <phoneticPr fontId="1"/>
  </si>
  <si>
    <t>max(申請額②)</t>
    <phoneticPr fontId="1"/>
  </si>
  <si>
    <t>mid(申請額③)</t>
    <phoneticPr fontId="1"/>
  </si>
  <si>
    <t>min(申請額①)</t>
    <phoneticPr fontId="1"/>
  </si>
  <si>
    <t>助成率MIN</t>
    <rPh sb="0" eb="3">
      <t>ジョセイリツ</t>
    </rPh>
    <phoneticPr fontId="1"/>
  </si>
  <si>
    <t>助成率MID</t>
    <rPh sb="0" eb="3">
      <t>ジョセイリツ</t>
    </rPh>
    <phoneticPr fontId="1"/>
  </si>
  <si>
    <t>助成率MAX</t>
    <rPh sb="0" eb="3">
      <t>ジョセイリツ</t>
    </rPh>
    <phoneticPr fontId="1"/>
  </si>
  <si>
    <t>-</t>
    <phoneticPr fontId="1"/>
  </si>
  <si>
    <t>令和７年10月</t>
    <rPh sb="0" eb="2">
      <t>レイワ</t>
    </rPh>
    <rPh sb="3" eb="4">
      <t>ネン</t>
    </rPh>
    <rPh sb="6" eb="7">
      <t>ガツ</t>
    </rPh>
    <phoneticPr fontId="1"/>
  </si>
  <si>
    <t>令和７年11月</t>
    <rPh sb="0" eb="2">
      <t>レイワ</t>
    </rPh>
    <rPh sb="3" eb="4">
      <t>ネン</t>
    </rPh>
    <rPh sb="6" eb="7">
      <t>ガツ</t>
    </rPh>
    <phoneticPr fontId="1"/>
  </si>
  <si>
    <t>令和７年12月</t>
    <rPh sb="0" eb="2">
      <t>レイワ</t>
    </rPh>
    <rPh sb="3" eb="4">
      <t>ネン</t>
    </rPh>
    <rPh sb="6" eb="7">
      <t>ガツ</t>
    </rPh>
    <phoneticPr fontId="1"/>
  </si>
  <si>
    <t>令和８年１月</t>
    <rPh sb="0" eb="2">
      <t>レイワ</t>
    </rPh>
    <rPh sb="3" eb="4">
      <t>ネン</t>
    </rPh>
    <rPh sb="5" eb="6">
      <t>ガツ</t>
    </rPh>
    <phoneticPr fontId="1"/>
  </si>
  <si>
    <t>令和８年２月</t>
    <rPh sb="0" eb="2">
      <t>レイワ</t>
    </rPh>
    <rPh sb="3" eb="4">
      <t>ネン</t>
    </rPh>
    <rPh sb="5" eb="6">
      <t>ガツ</t>
    </rPh>
    <phoneticPr fontId="1"/>
  </si>
  <si>
    <t>令和８年３月</t>
    <rPh sb="0" eb="2">
      <t>レイワ</t>
    </rPh>
    <rPh sb="3" eb="4">
      <t>ネン</t>
    </rPh>
    <rPh sb="5" eb="6">
      <t>ガツ</t>
    </rPh>
    <phoneticPr fontId="1"/>
  </si>
  <si>
    <t xml:space="preserve">実施回
</t>
    <rPh sb="0" eb="3">
      <t>ジッシカイ</t>
    </rPh>
    <phoneticPr fontId="1"/>
  </si>
  <si>
    <r>
      <t>11　株主名簿（基準日現在）</t>
    </r>
    <r>
      <rPr>
        <sz val="10"/>
        <color theme="1"/>
        <rFont val="ＭＳ ゴシック"/>
        <family val="3"/>
        <charset val="128"/>
      </rPr>
      <t>必要に応じて行を追加してください。</t>
    </r>
    <rPh sb="3" eb="5">
      <t>カブヌシ</t>
    </rPh>
    <rPh sb="5" eb="7">
      <t>メイボ</t>
    </rPh>
    <rPh sb="8" eb="11">
      <t>キジュンビ</t>
    </rPh>
    <rPh sb="11" eb="13">
      <t>ゲンザイ</t>
    </rPh>
    <phoneticPr fontId="1"/>
  </si>
  <si>
    <r>
      <t>上記「株主名簿」で、</t>
    </r>
    <r>
      <rPr>
        <b/>
        <sz val="9"/>
        <color theme="1"/>
        <rFont val="ＭＳ 明朝"/>
        <family val="1"/>
        <charset val="128"/>
      </rPr>
      <t>大企業に該当する株主</t>
    </r>
    <r>
      <rPr>
        <sz val="9"/>
        <color theme="1"/>
        <rFont val="ＭＳ 明朝"/>
        <family val="1"/>
        <charset val="128"/>
      </rPr>
      <t xml:space="preserve">がいる場合はその企業情報を記載してください。
</t>
    </r>
    <r>
      <rPr>
        <b/>
        <sz val="9"/>
        <color theme="1"/>
        <rFont val="ＭＳ 明朝"/>
        <family val="1"/>
        <charset val="128"/>
      </rPr>
      <t>自社の役員が大企業の役員又は従業員</t>
    </r>
    <r>
      <rPr>
        <sz val="9"/>
        <color theme="1"/>
        <rFont val="ＭＳ 明朝"/>
        <family val="1"/>
        <charset val="128"/>
      </rPr>
      <t>を兼ねている場合は企業名欄に企業名及び氏名を記載してください。</t>
    </r>
    <phoneticPr fontId="1"/>
  </si>
  <si>
    <t>企業名（または氏名）</t>
    <rPh sb="0" eb="3">
      <t>キギョウメイ</t>
    </rPh>
    <rPh sb="7" eb="9">
      <t>シメイ</t>
    </rPh>
    <phoneticPr fontId="1"/>
  </si>
  <si>
    <t>業種</t>
    <rPh sb="0" eb="2">
      <t>ギョウシュ</t>
    </rPh>
    <phoneticPr fontId="1"/>
  </si>
  <si>
    <t>資本金額</t>
    <rPh sb="0" eb="4">
      <t>シホンキンガク</t>
    </rPh>
    <phoneticPr fontId="1"/>
  </si>
  <si>
    <t>従業員数</t>
    <rPh sb="0" eb="4">
      <t>ジュウギョウインスウ</t>
    </rPh>
    <phoneticPr fontId="1"/>
  </si>
  <si>
    <t>名</t>
    <rPh sb="0" eb="1">
      <t>メイ</t>
    </rPh>
    <phoneticPr fontId="1"/>
  </si>
  <si>
    <t>令和８年４月</t>
    <rPh sb="0" eb="2">
      <t>レイワ</t>
    </rPh>
    <rPh sb="3" eb="4">
      <t>ネン</t>
    </rPh>
    <rPh sb="5" eb="6">
      <t>ガツ</t>
    </rPh>
    <phoneticPr fontId="1"/>
  </si>
  <si>
    <t>令和８年５月</t>
    <rPh sb="0" eb="2">
      <t>レイワ</t>
    </rPh>
    <rPh sb="3" eb="4">
      <t>ネン</t>
    </rPh>
    <rPh sb="5" eb="6">
      <t>ガツ</t>
    </rPh>
    <phoneticPr fontId="1"/>
  </si>
  <si>
    <t>令和８年６月</t>
    <rPh sb="0" eb="2">
      <t>レイワ</t>
    </rPh>
    <rPh sb="3" eb="4">
      <t>ネン</t>
    </rPh>
    <rPh sb="5" eb="6">
      <t>ガツ</t>
    </rPh>
    <phoneticPr fontId="1"/>
  </si>
  <si>
    <t>令和８年７月</t>
    <rPh sb="0" eb="2">
      <t>レイワ</t>
    </rPh>
    <rPh sb="3" eb="4">
      <t>ネン</t>
    </rPh>
    <rPh sb="5" eb="6">
      <t>ガツ</t>
    </rPh>
    <phoneticPr fontId="1"/>
  </si>
  <si>
    <t>令和８年８月</t>
    <rPh sb="0" eb="2">
      <t>レイワ</t>
    </rPh>
    <rPh sb="3" eb="4">
      <t>ネン</t>
    </rPh>
    <rPh sb="5" eb="6">
      <t>ガツ</t>
    </rPh>
    <phoneticPr fontId="1"/>
  </si>
  <si>
    <t>令和８年９月</t>
    <rPh sb="0" eb="2">
      <t>レイワ</t>
    </rPh>
    <rPh sb="3" eb="4">
      <t>ネン</t>
    </rPh>
    <rPh sb="5" eb="6">
      <t>ガツ</t>
    </rPh>
    <phoneticPr fontId="1"/>
  </si>
  <si>
    <t>Ｗ：</t>
    <phoneticPr fontId="1"/>
  </si>
  <si>
    <t>W1：働き方改革推進</t>
    <rPh sb="3" eb="4">
      <t>ハタラ</t>
    </rPh>
    <rPh sb="5" eb="6">
      <t>カタ</t>
    </rPh>
    <rPh sb="6" eb="8">
      <t>カイカク</t>
    </rPh>
    <rPh sb="8" eb="10">
      <t>スイシン</t>
    </rPh>
    <phoneticPr fontId="1"/>
  </si>
  <si>
    <t>助成率４/５以内・助成限度額１億円</t>
    <phoneticPr fontId="1"/>
  </si>
  <si>
    <t>Ⅴ</t>
    <phoneticPr fontId="1"/>
  </si>
  <si>
    <t>Ｆ：</t>
    <phoneticPr fontId="1"/>
  </si>
  <si>
    <t>アップグレード促進</t>
    <phoneticPr fontId="1"/>
  </si>
  <si>
    <t>1億円</t>
    <rPh sb="1" eb="3">
      <t>オクエン</t>
    </rPh>
    <phoneticPr fontId="1"/>
  </si>
  <si>
    <t>助成率３/４以内・助成限度額２億円</t>
    <phoneticPr fontId="1"/>
  </si>
  <si>
    <t>　申請額</t>
    <rPh sb="1" eb="4">
      <t>シンセイガク</t>
    </rPh>
    <phoneticPr fontId="1"/>
  </si>
  <si>
    <t>F1:アップグレード促進
※「賃上げ」かつ「ゼロエミ」</t>
    <rPh sb="15" eb="17">
      <t>チンア</t>
    </rPh>
    <phoneticPr fontId="1"/>
  </si>
  <si>
    <r>
      <t>すべての申請事業区分において、都に「地球温暖化対策報告書」、「地球温暖化対策計画書」、「特定テナント等地球温暖化対策計画書」のいずれか（</t>
    </r>
    <r>
      <rPr>
        <sz val="9"/>
        <color rgb="FFFF0000"/>
        <rFont val="ＭＳ 明朝"/>
        <family val="1"/>
        <charset val="128"/>
      </rPr>
      <t>令和５年度又は令和６年度実績</t>
    </r>
    <r>
      <rPr>
        <sz val="9"/>
        <rFont val="ＭＳ 明朝"/>
        <family val="1"/>
        <charset val="128"/>
      </rPr>
      <t>）を提出している申請者</t>
    </r>
    <rPh sb="4" eb="6">
      <t>シンセイ</t>
    </rPh>
    <rPh sb="6" eb="8">
      <t>ジギョウ</t>
    </rPh>
    <rPh sb="8" eb="10">
      <t>クブン</t>
    </rPh>
    <rPh sb="15" eb="16">
      <t>ト</t>
    </rPh>
    <rPh sb="18" eb="20">
      <t>チキュウ</t>
    </rPh>
    <rPh sb="20" eb="23">
      <t>オンダンカ</t>
    </rPh>
    <rPh sb="23" eb="25">
      <t>タイサク</t>
    </rPh>
    <rPh sb="25" eb="28">
      <t>ホウコクショ</t>
    </rPh>
    <rPh sb="31" eb="33">
      <t>チキュウ</t>
    </rPh>
    <rPh sb="33" eb="36">
      <t>オンダンカ</t>
    </rPh>
    <rPh sb="36" eb="38">
      <t>タイサク</t>
    </rPh>
    <rPh sb="38" eb="40">
      <t>ケイカク</t>
    </rPh>
    <rPh sb="40" eb="41">
      <t>ショ</t>
    </rPh>
    <rPh sb="44" eb="46">
      <t>トクテイ</t>
    </rPh>
    <rPh sb="50" eb="51">
      <t>ナド</t>
    </rPh>
    <rPh sb="68" eb="70">
      <t>レイワ</t>
    </rPh>
    <rPh sb="71" eb="73">
      <t>ネンド</t>
    </rPh>
    <rPh sb="73" eb="74">
      <t>マタ</t>
    </rPh>
    <rPh sb="75" eb="77">
      <t>レイワ</t>
    </rPh>
    <rPh sb="78" eb="80">
      <t>ネンド</t>
    </rPh>
    <rPh sb="80" eb="82">
      <t>ジッセキ</t>
    </rPh>
    <rPh sb="84" eb="86">
      <t>テイシュツ</t>
    </rPh>
    <rPh sb="90" eb="92">
      <t>シンセイ</t>
    </rPh>
    <rPh sb="92" eb="93">
      <t>シャ</t>
    </rPh>
    <phoneticPr fontId="1"/>
  </si>
  <si>
    <t xml:space="preserve"> ⅠのA1、B1、W1区分申請用の収支計画表　</t>
    <rPh sb="11" eb="13">
      <t>クブン</t>
    </rPh>
    <rPh sb="15" eb="16">
      <t>ヨウ</t>
    </rPh>
    <rPh sb="17" eb="19">
      <t>シュウシ</t>
    </rPh>
    <rPh sb="19" eb="21">
      <t>ケイカク</t>
    </rPh>
    <rPh sb="21" eb="22">
      <t>ヒョウ</t>
    </rPh>
    <phoneticPr fontId="1"/>
  </si>
  <si>
    <t>※事業区分</t>
    <phoneticPr fontId="1"/>
  </si>
  <si>
    <r>
      <t>[Ⅰのｾﾞﾛｴﾐ(A2A3,B2B3)又は賃上げ(A4,B4) ]/[Ⅱ ＤＸ推進]/[Ⅲイノベーション]/[Ⅳ後継者チャレンジ</t>
    </r>
    <r>
      <rPr>
        <b/>
        <sz val="7"/>
        <color rgb="FFFF0000"/>
        <rFont val="ＭＳ Ｐゴシック"/>
        <family val="3"/>
        <charset val="128"/>
      </rPr>
      <t>]/[Vアップグレード促進]</t>
    </r>
    <r>
      <rPr>
        <b/>
        <sz val="7"/>
        <color rgb="FF0000FF"/>
        <rFont val="ＭＳ Ｐゴシック"/>
        <family val="3"/>
        <charset val="128"/>
      </rPr>
      <t>申請用の収支計画表</t>
    </r>
    <phoneticPr fontId="1"/>
  </si>
  <si>
    <t>申請書区分 B1以外　100,000,000円</t>
    <rPh sb="0" eb="3">
      <t>シンセイショ</t>
    </rPh>
    <rPh sb="3" eb="5">
      <t>クブン</t>
    </rPh>
    <rPh sb="8" eb="10">
      <t>イガイ</t>
    </rPh>
    <phoneticPr fontId="1"/>
  </si>
  <si>
    <t>申請区分 F 200,000,000円</t>
    <phoneticPr fontId="1"/>
  </si>
  <si>
    <t>経費区分別内訳</t>
    <phoneticPr fontId="1"/>
  </si>
  <si>
    <t>（注：［区分：ＤＸ推進］を選択した場合は①～③の技術区分の中から１つ選択して〇印付与）</t>
    <rPh sb="1" eb="2">
      <t>チュウ</t>
    </rPh>
    <rPh sb="9" eb="11">
      <t>スイシン</t>
    </rPh>
    <rPh sb="24" eb="26">
      <t>ギジュツ</t>
    </rPh>
    <rPh sb="26" eb="28">
      <t>クブン</t>
    </rPh>
    <rPh sb="29" eb="30">
      <t>ナカ</t>
    </rPh>
    <rPh sb="34" eb="36">
      <t>センタク</t>
    </rPh>
    <rPh sb="39" eb="40">
      <t>シルシ</t>
    </rPh>
    <rPh sb="40" eb="42">
      <t>フヨ</t>
    </rPh>
    <phoneticPr fontId="1"/>
  </si>
  <si>
    <r>
      <t>助成率２/３以内・</t>
    </r>
    <r>
      <rPr>
        <sz val="10"/>
        <rFont val="ＭＳ 明朝"/>
        <family val="1"/>
        <charset val="128"/>
      </rPr>
      <t>助成限度額３千万円</t>
    </r>
    <phoneticPr fontId="1"/>
  </si>
  <si>
    <t>助成率４/５以内・助成限度額１億円</t>
    <rPh sb="6" eb="8">
      <t>イナイ</t>
    </rPh>
    <phoneticPr fontId="1"/>
  </si>
  <si>
    <t>上限金額</t>
    <rPh sb="0" eb="4">
      <t>ジョウゲンキンガク</t>
    </rPh>
    <phoneticPr fontId="1"/>
  </si>
  <si>
    <t>下限金額</t>
    <rPh sb="0" eb="2">
      <t>カゲン</t>
    </rPh>
    <rPh sb="2" eb="4">
      <t>キンガク</t>
    </rPh>
    <phoneticPr fontId="1"/>
  </si>
  <si>
    <t>申請者区分</t>
    <rPh sb="0" eb="3">
      <t>シンセイシャ</t>
    </rPh>
    <rPh sb="3" eb="5">
      <t>クブン</t>
    </rPh>
    <phoneticPr fontId="1"/>
  </si>
  <si>
    <t>助成対象経費　（税抜）</t>
    <rPh sb="0" eb="4">
      <t>ジョセイタイショウ</t>
    </rPh>
    <rPh sb="4" eb="6">
      <t>ケイヒ</t>
    </rPh>
    <rPh sb="8" eb="10">
      <t>ゼイヌ</t>
    </rPh>
    <phoneticPr fontId="1"/>
  </si>
  <si>
    <t>○</t>
  </si>
  <si>
    <t>申請金額</t>
    <rPh sb="0" eb="2">
      <t>シンセイ</t>
    </rPh>
    <rPh sb="2" eb="4">
      <t>キンガク</t>
    </rPh>
    <phoneticPr fontId="1"/>
  </si>
  <si>
    <t>上限ジャッジ後金額</t>
    <rPh sb="0" eb="2">
      <t>ジョウゲン</t>
    </rPh>
    <rPh sb="6" eb="7">
      <t>ゴ</t>
    </rPh>
    <rPh sb="7" eb="9">
      <t>キンガク</t>
    </rPh>
    <phoneticPr fontId="1"/>
  </si>
  <si>
    <t>W1：</t>
    <phoneticPr fontId="1"/>
  </si>
  <si>
    <t>働き方改革推進</t>
    <phoneticPr fontId="1"/>
  </si>
  <si>
    <t>D1:</t>
    <phoneticPr fontId="1"/>
  </si>
  <si>
    <t>ｲﾉﾍﾞｰｼｮﾝ</t>
  </si>
  <si>
    <t>D2:</t>
    <phoneticPr fontId="1"/>
  </si>
  <si>
    <t>ゼロエミ</t>
  </si>
  <si>
    <t xml:space="preserve">D3: </t>
    <phoneticPr fontId="1"/>
  </si>
  <si>
    <t>賃上げ</t>
    <phoneticPr fontId="1"/>
  </si>
  <si>
    <t>E1:</t>
    <phoneticPr fontId="1"/>
  </si>
  <si>
    <t>後継者ﾁｬﾚﾝｼﾞ</t>
    <phoneticPr fontId="1"/>
  </si>
  <si>
    <t>E2:</t>
    <phoneticPr fontId="1"/>
  </si>
  <si>
    <t>ゼロエミ</t>
    <phoneticPr fontId="1"/>
  </si>
  <si>
    <t>E3:</t>
    <phoneticPr fontId="1"/>
  </si>
  <si>
    <t>F1:</t>
    <phoneticPr fontId="1"/>
  </si>
  <si>
    <t>アップグレード促進
※「賃上げ」かつ「ゼロエミ」</t>
    <phoneticPr fontId="1"/>
  </si>
  <si>
    <t>B4:</t>
    <phoneticPr fontId="1"/>
  </si>
  <si>
    <t>×</t>
  </si>
  <si>
    <t>※1 助成金交付申請額は、申請者区分および2-1の「事業区分／申請者補足」選択との組合せに従い
      助成率に応じ①～③の２～３種表示。</t>
    <phoneticPr fontId="1"/>
  </si>
  <si>
    <t xml:space="preserve">    ①は助成率標準(自己負担最大となる助成率適用)、②は助成率max(ｾﾞﾛｴﾐ ・賃上げ3/4適用)、
    ③は助成率(ｾﾞﾛｴﾐ 2/3適用)の金額表記。</t>
    <phoneticPr fontId="1"/>
  </si>
  <si>
    <t>令和９年１月</t>
    <rPh sb="0" eb="2">
      <t>レイワ</t>
    </rPh>
    <rPh sb="3" eb="4">
      <t>ネン</t>
    </rPh>
    <rPh sb="5" eb="6">
      <t>ガツ</t>
    </rPh>
    <phoneticPr fontId="1"/>
  </si>
  <si>
    <t>令和９年２月</t>
    <rPh sb="0" eb="2">
      <t>レイワ</t>
    </rPh>
    <rPh sb="3" eb="4">
      <t>ネン</t>
    </rPh>
    <rPh sb="5" eb="6">
      <t>ガツ</t>
    </rPh>
    <phoneticPr fontId="1"/>
  </si>
  <si>
    <t>令和９年３月</t>
    <rPh sb="0" eb="2">
      <t>レイワ</t>
    </rPh>
    <rPh sb="3" eb="4">
      <t>ネン</t>
    </rPh>
    <rPh sb="5" eb="6">
      <t>ガツ</t>
    </rPh>
    <phoneticPr fontId="1"/>
  </si>
  <si>
    <t>ソフトウェアＡ
下限判定用申請額</t>
    <rPh sb="8" eb="10">
      <t>カゲン</t>
    </rPh>
    <rPh sb="10" eb="12">
      <t>ハンテイ</t>
    </rPh>
    <rPh sb="12" eb="13">
      <t>ヨウ</t>
    </rPh>
    <rPh sb="13" eb="16">
      <t>シンセイガク</t>
    </rPh>
    <phoneticPr fontId="1"/>
  </si>
  <si>
    <t>03</t>
  </si>
  <si>
    <t>鉱業、採石業、砂利採取業</t>
  </si>
  <si>
    <t>職別工事業（設備工事業を除く）</t>
  </si>
  <si>
    <t>管理、補助的経済活動を行う事業所（41映像・音声・文字情報制作業）</t>
  </si>
  <si>
    <t>建築材料、鉱物・金属材料等卸売業</t>
  </si>
  <si>
    <t>貸金業、クレジットカード業等非預金信用機関</t>
  </si>
  <si>
    <t>金融商品取引業、商品先物取引業</t>
  </si>
  <si>
    <t>保険業（保険媒介代理業、保険サービス業を含む）</t>
  </si>
  <si>
    <t>管理・補助的経済活動を行う事業所（69不動産賃貸業・管理業）</t>
  </si>
  <si>
    <t>その他の教育、学習支援業</t>
  </si>
  <si>
    <t>業種コード</t>
    <rPh sb="0" eb="2">
      <t>ギョウシュ</t>
    </rPh>
    <phoneticPr fontId="1"/>
  </si>
  <si>
    <t>中分類</t>
    <rPh sb="0" eb="3">
      <t>チュウブンルイ</t>
    </rPh>
    <phoneticPr fontId="1"/>
  </si>
  <si>
    <t>大/中資本金</t>
    <rPh sb="0" eb="1">
      <t>ダイ</t>
    </rPh>
    <rPh sb="2" eb="3">
      <t>ナカ</t>
    </rPh>
    <rPh sb="3" eb="6">
      <t>シホンキン</t>
    </rPh>
    <phoneticPr fontId="1"/>
  </si>
  <si>
    <t>大企業/中小企業/小規模企業者
判定</t>
    <rPh sb="0" eb="3">
      <t>ダイキギョウ</t>
    </rPh>
    <rPh sb="4" eb="8">
      <t>チュウショウキギョウ</t>
    </rPh>
    <rPh sb="9" eb="15">
      <t>ショウキボキギョウシャ</t>
    </rPh>
    <rPh sb="16" eb="18">
      <t>ハンテイ</t>
    </rPh>
    <phoneticPr fontId="1"/>
  </si>
  <si>
    <t>大/中従業員</t>
    <rPh sb="0" eb="1">
      <t>ダイ</t>
    </rPh>
    <rPh sb="2" eb="3">
      <t>ナカ</t>
    </rPh>
    <rPh sb="3" eb="6">
      <t>ジュウギョウイン</t>
    </rPh>
    <phoneticPr fontId="1"/>
  </si>
  <si>
    <t>中/小資本金</t>
    <rPh sb="0" eb="1">
      <t>ナカ</t>
    </rPh>
    <rPh sb="2" eb="3">
      <t>ショウ</t>
    </rPh>
    <rPh sb="3" eb="6">
      <t>シホンキン</t>
    </rPh>
    <phoneticPr fontId="1"/>
  </si>
  <si>
    <t>中/小従業員</t>
    <rPh sb="0" eb="1">
      <t>ナカ</t>
    </rPh>
    <rPh sb="2" eb="3">
      <t>ショウ</t>
    </rPh>
    <rPh sb="3" eb="6">
      <t>ジュウギョウイン</t>
    </rPh>
    <phoneticPr fontId="1"/>
  </si>
  <si>
    <t>#10</t>
    <phoneticPr fontId="1"/>
  </si>
  <si>
    <t>ソフトウェアＡ
下限判定</t>
    <rPh sb="8" eb="10">
      <t>カゲン</t>
    </rPh>
    <rPh sb="10" eb="12">
      <t>ハンテイ</t>
    </rPh>
    <phoneticPr fontId="1"/>
  </si>
  <si>
    <r>
      <rPr>
        <sz val="7"/>
        <color theme="0" tint="-0.34998626667073579"/>
        <rFont val="ＭＳ ゴシック"/>
        <family val="3"/>
        <charset val="128"/>
      </rPr>
      <t>ソフトウェアＡ</t>
    </r>
    <r>
      <rPr>
        <sz val="8"/>
        <color theme="0" tint="-0.34998626667073579"/>
        <rFont val="ＭＳ ゴシック"/>
        <family val="3"/>
        <charset val="128"/>
      </rPr>
      <t xml:space="preserve">
基数</t>
    </r>
    <rPh sb="8" eb="10">
      <t>キスウ</t>
    </rPh>
    <phoneticPr fontId="1"/>
  </si>
  <si>
    <r>
      <rPr>
        <sz val="7"/>
        <color theme="0" tint="-0.34998626667073579"/>
        <rFont val="ＭＳ ゴシック"/>
        <family val="3"/>
        <charset val="128"/>
      </rPr>
      <t>ソフトウェアＢ</t>
    </r>
    <r>
      <rPr>
        <sz val="8"/>
        <color theme="0" tint="-0.34998626667073579"/>
        <rFont val="ＭＳ ゴシック"/>
        <family val="3"/>
        <charset val="128"/>
      </rPr>
      <t xml:space="preserve">
基数</t>
    </r>
    <rPh sb="8" eb="10">
      <t>キスウ</t>
    </rPh>
    <phoneticPr fontId="1"/>
  </si>
  <si>
    <t>　当社（私）は、「第10回（令和７年度第２回） 躍進的な事業推進のための設備投資支援事業」
の申請にあたり、基準日（令和７年９月１日）現在で下記のすべてを満たしていることを確認し
ます。
　該当しないことが判明した場合は、助成金交付決定の取り消し、返還の対象となること
及びその他貴公社が行う一切の措置について異議を申し立てません。</t>
    <rPh sb="24" eb="27">
      <t>ヤクシンテキ</t>
    </rPh>
    <rPh sb="30" eb="32">
      <t>スイシン</t>
    </rPh>
    <rPh sb="58" eb="60">
      <t>レイワ</t>
    </rPh>
    <phoneticPr fontId="1"/>
  </si>
  <si>
    <t>第10回（令和７年度 第２回） 躍進的な事業推進のための設備投資支援事業　申請書</t>
    <phoneticPr fontId="1"/>
  </si>
  <si>
    <t>賃上1回目申請額</t>
    <rPh sb="0" eb="2">
      <t>チンア</t>
    </rPh>
    <rPh sb="3" eb="5">
      <t>カイメ</t>
    </rPh>
    <rPh sb="5" eb="8">
      <t>シンセイガク</t>
    </rPh>
    <phoneticPr fontId="1"/>
  </si>
  <si>
    <t>助成金交付申請額/合計(賃上1回目用数値)</t>
    <rPh sb="0" eb="3">
      <t>ジョセイキン</t>
    </rPh>
    <rPh sb="17" eb="18">
      <t>ヨウ</t>
    </rPh>
    <rPh sb="18" eb="20">
      <t>スウチ</t>
    </rPh>
    <phoneticPr fontId="1"/>
  </si>
  <si>
    <t>令和９年８月</t>
    <rPh sb="0" eb="2">
      <t>レイワ</t>
    </rPh>
    <rPh sb="3" eb="4">
      <t>ネン</t>
    </rPh>
    <rPh sb="5" eb="6">
      <t>ガツ</t>
    </rPh>
    <phoneticPr fontId="1"/>
  </si>
  <si>
    <t>令和９年４月</t>
    <rPh sb="0" eb="2">
      <t>レイワ</t>
    </rPh>
    <rPh sb="3" eb="4">
      <t>ネン</t>
    </rPh>
    <rPh sb="5" eb="6">
      <t>ガツ</t>
    </rPh>
    <phoneticPr fontId="1"/>
  </si>
  <si>
    <t>令和９年５月</t>
    <rPh sb="0" eb="2">
      <t>レイワ</t>
    </rPh>
    <rPh sb="3" eb="4">
      <t>ネン</t>
    </rPh>
    <rPh sb="5" eb="6">
      <t>ガツ</t>
    </rPh>
    <phoneticPr fontId="1"/>
  </si>
  <si>
    <t>令和９年６月</t>
    <rPh sb="0" eb="2">
      <t>レイワ</t>
    </rPh>
    <rPh sb="3" eb="4">
      <t>ネン</t>
    </rPh>
    <rPh sb="5" eb="6">
      <t>ガツ</t>
    </rPh>
    <phoneticPr fontId="1"/>
  </si>
  <si>
    <t>令和９年７月</t>
    <rPh sb="0" eb="2">
      <t>レイワ</t>
    </rPh>
    <rPh sb="3" eb="4">
      <t>ネン</t>
    </rPh>
    <rPh sb="5" eb="6">
      <t>ガツ</t>
    </rPh>
    <phoneticPr fontId="1"/>
  </si>
  <si>
    <t>令和８年11月</t>
    <rPh sb="0" eb="2">
      <t>レイワ</t>
    </rPh>
    <rPh sb="3" eb="4">
      <t>ネン</t>
    </rPh>
    <rPh sb="6" eb="7">
      <t>ガツ</t>
    </rPh>
    <phoneticPr fontId="1"/>
  </si>
  <si>
    <t>令和８年10月</t>
    <rPh sb="0" eb="2">
      <t>レイワ</t>
    </rPh>
    <rPh sb="3" eb="4">
      <t>ネン</t>
    </rPh>
    <rPh sb="6" eb="7">
      <t>ガツ</t>
    </rPh>
    <phoneticPr fontId="1"/>
  </si>
  <si>
    <t>令和８年12月</t>
    <rPh sb="0" eb="2">
      <t>レイワ</t>
    </rPh>
    <rPh sb="3" eb="4">
      <t>ネン</t>
    </rPh>
    <rPh sb="6" eb="7">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</si>
</sst>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quot;¥&quot;\-#,##0"/>
    <numFmt numFmtId="176" formatCode="#,##0_ "/>
    <numFmt numFmtId="177" formatCode="0.0%"/>
    <numFmt numFmtId="178" formatCode="0_ "/>
    <numFmt numFmtId="179" formatCode="0;\-0;;@"/>
    <numFmt numFmtId="180" formatCode="#,##0_);[Red]\(#,##0\)"/>
    <numFmt numFmtId="181" formatCode="0_);[Red]\(0\)"/>
    <numFmt numFmtId="182" formatCode="yyyy&quot;年度&quot;"/>
    <numFmt numFmtId="183" formatCode="#"/>
    <numFmt numFmtId="184" formatCode="0;\-0;0"/>
    <numFmt numFmtId="185" formatCode="00"/>
    <numFmt numFmtId="186" formatCode="0.0"/>
    <numFmt numFmtId="187" formatCode="0.0_ "/>
  </numFmts>
  <fonts count="18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6"/>
      <color theme="1"/>
      <name val="ＭＳ 明朝"/>
      <family val="1"/>
      <charset val="128"/>
    </font>
    <font>
      <sz val="9"/>
      <color theme="1"/>
      <name val="ＭＳ 明朝"/>
      <family val="1"/>
      <charset val="128"/>
    </font>
    <font>
      <sz val="8"/>
      <color theme="1"/>
      <name val="ＭＳ 明朝"/>
      <family val="1"/>
      <charset val="128"/>
    </font>
    <font>
      <sz val="11"/>
      <color rgb="FFFF0000"/>
      <name val="ＭＳ 明朝"/>
      <family val="1"/>
      <charset val="128"/>
    </font>
    <font>
      <sz val="11"/>
      <color theme="1"/>
      <name val="ＭＳ Ｐゴシック"/>
      <family val="3"/>
      <charset val="128"/>
    </font>
    <font>
      <b/>
      <sz val="11"/>
      <color theme="1"/>
      <name val="ＭＳ ゴシック"/>
      <family val="3"/>
      <charset val="128"/>
    </font>
    <font>
      <b/>
      <sz val="11"/>
      <color theme="1"/>
      <name val="ＭＳ 明朝"/>
      <family val="1"/>
      <charset val="128"/>
    </font>
    <font>
      <b/>
      <sz val="11"/>
      <color theme="1"/>
      <name val="ＭＳ Ｐゴシック"/>
      <family val="3"/>
      <charset val="128"/>
    </font>
    <font>
      <sz val="9"/>
      <color theme="1"/>
      <name val="游ゴシック"/>
      <family val="2"/>
      <charset val="128"/>
      <scheme val="minor"/>
    </font>
    <font>
      <sz val="8"/>
      <color theme="1"/>
      <name val="游ゴシック"/>
      <family val="2"/>
      <charset val="128"/>
      <scheme val="minor"/>
    </font>
    <font>
      <sz val="10"/>
      <color theme="1"/>
      <name val="游ゴシック"/>
      <family val="2"/>
      <charset val="128"/>
      <scheme val="minor"/>
    </font>
    <font>
      <sz val="7"/>
      <color theme="1"/>
      <name val="ＭＳ 明朝"/>
      <family val="1"/>
      <charset val="128"/>
    </font>
    <font>
      <sz val="11"/>
      <name val="ＭＳ 明朝"/>
      <family val="2"/>
      <charset val="128"/>
    </font>
    <font>
      <sz val="11"/>
      <color theme="1"/>
      <name val="ＭＳ 明朝"/>
      <family val="2"/>
      <charset val="128"/>
    </font>
    <font>
      <sz val="6"/>
      <name val="ＭＳ 明朝"/>
      <family val="2"/>
      <charset val="128"/>
    </font>
    <font>
      <sz val="10.5"/>
      <name val="ＭＳ 明朝"/>
      <family val="1"/>
      <charset val="128"/>
    </font>
    <font>
      <sz val="11"/>
      <name val="ＭＳ 明朝"/>
      <family val="1"/>
      <charset val="128"/>
    </font>
    <font>
      <sz val="10"/>
      <name val="ＭＳ 明朝"/>
      <family val="1"/>
      <charset val="128"/>
    </font>
    <font>
      <sz val="11"/>
      <name val="ＭＳ Ｐゴシック"/>
      <family val="3"/>
      <charset val="128"/>
    </font>
    <font>
      <sz val="10"/>
      <name val="ＭＳ 明朝"/>
      <family val="2"/>
      <charset val="128"/>
    </font>
    <font>
      <sz val="6"/>
      <name val="ＭＳ Ｐゴシック"/>
      <family val="3"/>
      <charset val="128"/>
    </font>
    <font>
      <sz val="9"/>
      <name val="ＭＳ 明朝"/>
      <family val="1"/>
      <charset val="128"/>
    </font>
    <font>
      <sz val="9"/>
      <name val="ＭＳ 明朝"/>
      <family val="2"/>
      <charset val="128"/>
    </font>
    <font>
      <sz val="9"/>
      <color rgb="FFFF0000"/>
      <name val="ＭＳ 明朝"/>
      <family val="2"/>
      <charset val="128"/>
    </font>
    <font>
      <sz val="8"/>
      <name val="ＭＳ 明朝"/>
      <family val="2"/>
      <charset val="128"/>
    </font>
    <font>
      <sz val="11"/>
      <color rgb="FFFF0000"/>
      <name val="ＭＳ 明朝"/>
      <family val="2"/>
      <charset val="128"/>
    </font>
    <font>
      <sz val="9"/>
      <color rgb="FFFF0000"/>
      <name val="ＭＳ 明朝"/>
      <family val="1"/>
      <charset val="128"/>
    </font>
    <font>
      <sz val="11"/>
      <name val="ＭＳ ゴシック"/>
      <family val="3"/>
      <charset val="128"/>
    </font>
    <font>
      <sz val="11"/>
      <name val="游ゴシック"/>
      <family val="3"/>
      <charset val="128"/>
      <scheme val="minor"/>
    </font>
    <font>
      <sz val="8"/>
      <color rgb="FFFF0000"/>
      <name val="ＭＳ 明朝"/>
      <family val="1"/>
      <charset val="128"/>
    </font>
    <font>
      <b/>
      <u/>
      <sz val="9"/>
      <name val="ＭＳ 明朝"/>
      <family val="1"/>
      <charset val="128"/>
    </font>
    <font>
      <sz val="11"/>
      <color theme="1"/>
      <name val="游ゴシック"/>
      <family val="2"/>
      <scheme val="minor"/>
    </font>
    <font>
      <sz val="12"/>
      <color rgb="FF000000"/>
      <name val="ＭＳ ゴシック"/>
      <family val="3"/>
      <charset val="128"/>
    </font>
    <font>
      <b/>
      <sz val="12"/>
      <color rgb="FF000000"/>
      <name val="ＭＳ 明朝"/>
      <family val="1"/>
      <charset val="128"/>
    </font>
    <font>
      <sz val="11"/>
      <color rgb="FF000000"/>
      <name val="ＭＳ ゴシック"/>
      <family val="3"/>
      <charset val="128"/>
    </font>
    <font>
      <sz val="11"/>
      <color rgb="FF000000"/>
      <name val="游ゴシック"/>
      <family val="2"/>
      <scheme val="minor"/>
    </font>
    <font>
      <sz val="10"/>
      <color rgb="FF000000"/>
      <name val="ＭＳ ゴシック"/>
      <family val="3"/>
      <charset val="128"/>
    </font>
    <font>
      <b/>
      <sz val="8"/>
      <color rgb="FFFF0000"/>
      <name val="ＭＳ ゴシック"/>
      <family val="3"/>
      <charset val="128"/>
    </font>
    <font>
      <sz val="11"/>
      <color rgb="FFFF0000"/>
      <name val="ＭＳ ゴシック"/>
      <family val="3"/>
      <charset val="128"/>
    </font>
    <font>
      <b/>
      <sz val="11"/>
      <color theme="1"/>
      <name val="游ゴシック"/>
      <family val="3"/>
      <charset val="128"/>
      <scheme val="minor"/>
    </font>
    <font>
      <b/>
      <sz val="12"/>
      <color rgb="FF000000"/>
      <name val="ＭＳ ゴシック"/>
      <family val="3"/>
      <charset val="128"/>
    </font>
    <font>
      <sz val="10"/>
      <color rgb="FFFF0000"/>
      <name val="ＭＳ 明朝"/>
      <family val="1"/>
      <charset val="128"/>
    </font>
    <font>
      <b/>
      <sz val="9"/>
      <color theme="1"/>
      <name val="ＭＳ ゴシック"/>
      <family val="3"/>
      <charset val="128"/>
    </font>
    <font>
      <u/>
      <sz val="6"/>
      <color rgb="FFFF0000"/>
      <name val="ＭＳ 明朝"/>
      <family val="1"/>
      <charset val="128"/>
    </font>
    <font>
      <sz val="8"/>
      <color rgb="FF0000FF"/>
      <name val="游ゴシック"/>
      <family val="2"/>
      <charset val="128"/>
      <scheme val="minor"/>
    </font>
    <font>
      <sz val="11"/>
      <color rgb="FFFF0000"/>
      <name val="游ゴシック"/>
      <family val="2"/>
      <charset val="128"/>
      <scheme val="minor"/>
    </font>
    <font>
      <u val="double"/>
      <sz val="11"/>
      <color theme="1"/>
      <name val="ＭＳ 明朝"/>
      <family val="1"/>
      <charset val="128"/>
    </font>
    <font>
      <u/>
      <sz val="11"/>
      <color theme="1"/>
      <name val="ＭＳ 明朝"/>
      <family val="1"/>
      <charset val="128"/>
    </font>
    <font>
      <sz val="6"/>
      <color rgb="FF0000FF"/>
      <name val="ＭＳ 明朝"/>
      <family val="1"/>
      <charset val="128"/>
    </font>
    <font>
      <sz val="6"/>
      <color rgb="FFFF0000"/>
      <name val="ＭＳ 明朝"/>
      <family val="1"/>
      <charset val="128"/>
    </font>
    <font>
      <b/>
      <sz val="14"/>
      <color rgb="FFFF0000"/>
      <name val="ＭＳ 明朝"/>
      <family val="1"/>
      <charset val="128"/>
    </font>
    <font>
      <sz val="8"/>
      <name val="ＭＳ 明朝"/>
      <family val="1"/>
      <charset val="128"/>
    </font>
    <font>
      <sz val="8"/>
      <name val="游ゴシック"/>
      <family val="2"/>
      <charset val="128"/>
      <scheme val="minor"/>
    </font>
    <font>
      <sz val="9"/>
      <color rgb="FFFF0000"/>
      <name val="ＭＳ ゴシック"/>
      <family val="3"/>
      <charset val="128"/>
    </font>
    <font>
      <sz val="10"/>
      <color rgb="FFFFFF00"/>
      <name val="ＭＳ 明朝"/>
      <family val="1"/>
      <charset val="128"/>
    </font>
    <font>
      <sz val="9"/>
      <color rgb="FFFFFF00"/>
      <name val="ＭＳ 明朝"/>
      <family val="1"/>
      <charset val="128"/>
    </font>
    <font>
      <sz val="10"/>
      <color rgb="FFFFC000"/>
      <name val="ＭＳ 明朝"/>
      <family val="1"/>
      <charset val="128"/>
    </font>
    <font>
      <sz val="9"/>
      <color rgb="FFFFC000"/>
      <name val="ＭＳ 明朝"/>
      <family val="1"/>
      <charset val="128"/>
    </font>
    <font>
      <u/>
      <sz val="9"/>
      <color theme="1"/>
      <name val="ＭＳ 明朝"/>
      <family val="1"/>
      <charset val="128"/>
    </font>
    <font>
      <sz val="8"/>
      <color rgb="FF000000"/>
      <name val="ＭＳ ゴシック"/>
      <family val="3"/>
      <charset val="128"/>
    </font>
    <font>
      <sz val="8"/>
      <color rgb="FFFF0000"/>
      <name val="ＭＳ ゴシック"/>
      <family val="3"/>
      <charset val="128"/>
    </font>
    <font>
      <sz val="11"/>
      <color theme="1"/>
      <name val="ＭＳ ゴシック"/>
      <family val="3"/>
      <charset val="128"/>
    </font>
    <font>
      <b/>
      <sz val="10"/>
      <color theme="1"/>
      <name val="ＭＳ 明朝"/>
      <family val="1"/>
      <charset val="128"/>
    </font>
    <font>
      <sz val="8"/>
      <color theme="1"/>
      <name val="游ゴシック"/>
      <family val="3"/>
      <charset val="128"/>
      <scheme val="minor"/>
    </font>
    <font>
      <sz val="6"/>
      <color theme="1"/>
      <name val="游ゴシック"/>
      <family val="2"/>
      <charset val="128"/>
      <scheme val="minor"/>
    </font>
    <font>
      <sz val="6"/>
      <color theme="0"/>
      <name val="ＭＳ 明朝"/>
      <family val="1"/>
      <charset val="128"/>
    </font>
    <font>
      <sz val="10"/>
      <name val="ＭＳ ゴシック"/>
      <family val="3"/>
      <charset val="128"/>
    </font>
    <font>
      <sz val="11"/>
      <name val="游ゴシック"/>
      <family val="2"/>
      <charset val="128"/>
      <scheme val="minor"/>
    </font>
    <font>
      <sz val="10"/>
      <color theme="1"/>
      <name val="ＭＳ ゴシック"/>
      <family val="3"/>
      <charset val="128"/>
    </font>
    <font>
      <sz val="9"/>
      <color theme="1"/>
      <name val="ＭＳ ゴシック"/>
      <family val="3"/>
      <charset val="128"/>
    </font>
    <font>
      <b/>
      <sz val="10"/>
      <color theme="1"/>
      <name val="ＭＳ ゴシック"/>
      <family val="3"/>
      <charset val="128"/>
    </font>
    <font>
      <b/>
      <sz val="11"/>
      <name val="ＭＳ ゴシック"/>
      <family val="3"/>
      <charset val="128"/>
    </font>
    <font>
      <sz val="11"/>
      <color theme="0"/>
      <name val="ＭＳ ゴシック"/>
      <family val="3"/>
      <charset val="128"/>
    </font>
    <font>
      <sz val="6"/>
      <name val="ＭＳ 明朝"/>
      <family val="1"/>
      <charset val="128"/>
    </font>
    <font>
      <sz val="9"/>
      <color rgb="FF0000FF"/>
      <name val="ＭＳ ゴシック"/>
      <family val="3"/>
      <charset val="128"/>
    </font>
    <font>
      <sz val="11"/>
      <color rgb="FF0000FF"/>
      <name val="ＭＳ ゴシック"/>
      <family val="3"/>
      <charset val="128"/>
    </font>
    <font>
      <sz val="11"/>
      <color theme="1"/>
      <name val="游ゴシック"/>
      <family val="2"/>
      <charset val="128"/>
      <scheme val="minor"/>
    </font>
    <font>
      <sz val="9"/>
      <color theme="1"/>
      <name val="ＭＳ Ｐ明朝"/>
      <family val="1"/>
      <charset val="128"/>
    </font>
    <font>
      <sz val="10.5"/>
      <name val="ＭＳ ゴシック"/>
      <family val="3"/>
      <charset val="128"/>
    </font>
    <font>
      <sz val="10.5"/>
      <name val="ＭＳ 明朝"/>
      <family val="2"/>
      <charset val="128"/>
    </font>
    <font>
      <sz val="7"/>
      <color theme="1"/>
      <name val="游ゴシック"/>
      <family val="3"/>
      <charset val="128"/>
      <scheme val="minor"/>
    </font>
    <font>
      <b/>
      <sz val="10"/>
      <color rgb="FFFF0000"/>
      <name val="ＭＳ 明朝"/>
      <family val="1"/>
      <charset val="128"/>
    </font>
    <font>
      <b/>
      <sz val="9"/>
      <color theme="1"/>
      <name val="ＭＳ 明朝"/>
      <family val="1"/>
      <charset val="128"/>
    </font>
    <font>
      <sz val="8"/>
      <color theme="1"/>
      <name val="ＭＳ Ｐ明朝"/>
      <family val="1"/>
      <charset val="128"/>
    </font>
    <font>
      <b/>
      <sz val="9"/>
      <color theme="1"/>
      <name val="游ゴシック"/>
      <family val="2"/>
      <charset val="128"/>
      <scheme val="minor"/>
    </font>
    <font>
      <b/>
      <sz val="11"/>
      <color rgb="FF000000"/>
      <name val="ＭＳ ゴシック"/>
      <family val="3"/>
      <charset val="128"/>
    </font>
    <font>
      <b/>
      <sz val="9"/>
      <color rgb="FF000000"/>
      <name val="ＭＳ ゴシック"/>
      <family val="3"/>
      <charset val="128"/>
    </font>
    <font>
      <b/>
      <sz val="24"/>
      <color rgb="FFFF0000"/>
      <name val="ＭＳ ゴシック"/>
      <family val="3"/>
      <charset val="128"/>
    </font>
    <font>
      <b/>
      <sz val="12"/>
      <color rgb="FF0000FF"/>
      <name val="ＭＳ ゴシック"/>
      <family val="3"/>
      <charset val="128"/>
    </font>
    <font>
      <u/>
      <sz val="8"/>
      <color theme="1"/>
      <name val="ＭＳ Ｐ明朝"/>
      <family val="1"/>
      <charset val="128"/>
    </font>
    <font>
      <sz val="11"/>
      <color theme="1"/>
      <name val="ＭＳ Ｐ明朝"/>
      <family val="1"/>
      <charset val="128"/>
    </font>
    <font>
      <sz val="8"/>
      <color theme="0"/>
      <name val="ＭＳ 明朝"/>
      <family val="1"/>
      <charset val="128"/>
    </font>
    <font>
      <sz val="6"/>
      <color theme="0" tint="-0.34998626667073579"/>
      <name val="ＭＳ 明朝"/>
      <family val="1"/>
      <charset val="128"/>
    </font>
    <font>
      <sz val="10"/>
      <color theme="0" tint="-0.34998626667073579"/>
      <name val="ＭＳ 明朝"/>
      <family val="1"/>
      <charset val="128"/>
    </font>
    <font>
      <sz val="8"/>
      <color theme="0" tint="-0.34998626667073579"/>
      <name val="ＭＳ 明朝"/>
      <family val="1"/>
      <charset val="128"/>
    </font>
    <font>
      <sz val="11"/>
      <color theme="0" tint="-0.34998626667073579"/>
      <name val="ＭＳ 明朝"/>
      <family val="1"/>
      <charset val="128"/>
    </font>
    <font>
      <sz val="9"/>
      <color theme="0" tint="-0.34998626667073579"/>
      <name val="ＭＳ 明朝"/>
      <family val="1"/>
      <charset val="128"/>
    </font>
    <font>
      <b/>
      <sz val="14"/>
      <color theme="0" tint="-0.34998626667073579"/>
      <name val="ＭＳ 明朝"/>
      <family val="1"/>
      <charset val="128"/>
    </font>
    <font>
      <b/>
      <sz val="11"/>
      <color rgb="FFFF0000"/>
      <name val="ＭＳ 明朝"/>
      <family val="1"/>
      <charset val="128"/>
    </font>
    <font>
      <b/>
      <sz val="11"/>
      <color theme="0" tint="-0.34998626667073579"/>
      <name val="ＭＳ 明朝"/>
      <family val="1"/>
      <charset val="128"/>
    </font>
    <font>
      <sz val="9"/>
      <color theme="0" tint="-0.34998626667073579"/>
      <name val="ＭＳ 明朝"/>
      <family val="2"/>
      <charset val="128"/>
    </font>
    <font>
      <sz val="9"/>
      <color theme="0" tint="-0.34998626667073579"/>
      <name val="游ゴシック"/>
      <family val="2"/>
      <charset val="128"/>
      <scheme val="minor"/>
    </font>
    <font>
      <sz val="8"/>
      <color theme="0"/>
      <name val="游ゴシック"/>
      <family val="2"/>
      <charset val="128"/>
      <scheme val="minor"/>
    </font>
    <font>
      <sz val="8"/>
      <color theme="0" tint="-0.499984740745262"/>
      <name val="ＭＳ 明朝"/>
      <family val="1"/>
      <charset val="128"/>
    </font>
    <font>
      <sz val="4"/>
      <color theme="1"/>
      <name val="ＭＳ 明朝"/>
      <family val="1"/>
      <charset val="128"/>
    </font>
    <font>
      <sz val="4"/>
      <name val="ＭＳ 明朝"/>
      <family val="2"/>
      <charset val="128"/>
    </font>
    <font>
      <sz val="4"/>
      <color theme="1"/>
      <name val="游ゴシック"/>
      <family val="2"/>
      <charset val="128"/>
      <scheme val="minor"/>
    </font>
    <font>
      <sz val="8"/>
      <color rgb="FF0000FF"/>
      <name val="ＭＳ 明朝"/>
      <family val="1"/>
      <charset val="128"/>
    </font>
    <font>
      <sz val="10"/>
      <color rgb="FF000099"/>
      <name val="ＭＳ 明朝"/>
      <family val="1"/>
      <charset val="128"/>
    </font>
    <font>
      <sz val="10.5"/>
      <color theme="1"/>
      <name val="ＭＳ 明朝"/>
      <family val="1"/>
      <charset val="128"/>
    </font>
    <font>
      <sz val="10"/>
      <color rgb="FFFF0000"/>
      <name val="ＭＳ ゴシック"/>
      <family val="3"/>
      <charset val="128"/>
    </font>
    <font>
      <b/>
      <sz val="8"/>
      <color theme="1"/>
      <name val="ＭＳ 明朝"/>
      <family val="1"/>
      <charset val="128"/>
    </font>
    <font>
      <b/>
      <sz val="8"/>
      <color theme="1"/>
      <name val="游ゴシック"/>
      <family val="2"/>
      <charset val="128"/>
      <scheme val="minor"/>
    </font>
    <font>
      <sz val="8"/>
      <color rgb="FF99FF99"/>
      <name val="ＭＳ 明朝"/>
      <family val="1"/>
      <charset val="128"/>
    </font>
    <font>
      <sz val="10.5"/>
      <color theme="1"/>
      <name val="游ゴシック"/>
      <family val="2"/>
      <charset val="128"/>
      <scheme val="minor"/>
    </font>
    <font>
      <sz val="9"/>
      <color rgb="FF0000FF"/>
      <name val="ＭＳ 明朝"/>
      <family val="1"/>
      <charset val="128"/>
    </font>
    <font>
      <sz val="10"/>
      <color rgb="FF0000FF"/>
      <name val="ＭＳ 明朝"/>
      <family val="1"/>
      <charset val="128"/>
    </font>
    <font>
      <sz val="9"/>
      <color rgb="FF0000FF"/>
      <name val="游ゴシック"/>
      <family val="2"/>
      <charset val="128"/>
      <scheme val="minor"/>
    </font>
    <font>
      <sz val="11"/>
      <color theme="0"/>
      <name val="ＭＳ 明朝"/>
      <family val="2"/>
      <charset val="128"/>
    </font>
    <font>
      <sz val="7"/>
      <color rgb="FFFF0000"/>
      <name val="ＭＳ 明朝"/>
      <family val="1"/>
      <charset val="128"/>
    </font>
    <font>
      <sz val="11"/>
      <color rgb="FFFF0000"/>
      <name val="HG丸ｺﾞｼｯｸM-PRO"/>
      <family val="3"/>
      <charset val="128"/>
    </font>
    <font>
      <b/>
      <sz val="12"/>
      <color rgb="FFFF0000"/>
      <name val="游ゴシック"/>
      <family val="3"/>
      <charset val="128"/>
      <scheme val="minor"/>
    </font>
    <font>
      <b/>
      <sz val="16"/>
      <color rgb="FFFF0000"/>
      <name val="ＭＳ 明朝"/>
      <family val="1"/>
      <charset val="128"/>
    </font>
    <font>
      <sz val="16"/>
      <color theme="1"/>
      <name val="ＭＳ 明朝"/>
      <family val="1"/>
      <charset val="128"/>
    </font>
    <font>
      <sz val="7"/>
      <color rgb="FF0000FF"/>
      <name val="ＭＳ 明朝"/>
      <family val="1"/>
      <charset val="128"/>
    </font>
    <font>
      <sz val="7"/>
      <color rgb="FF0000FF"/>
      <name val="ＭＳ Ｐ明朝"/>
      <family val="1"/>
      <charset val="128"/>
    </font>
    <font>
      <b/>
      <sz val="8"/>
      <color rgb="FFFF0000"/>
      <name val="ＭＳ 明朝"/>
      <family val="1"/>
      <charset val="128"/>
    </font>
    <font>
      <b/>
      <sz val="7"/>
      <color rgb="FF0000FF"/>
      <name val="ＭＳ Ｐ明朝"/>
      <family val="1"/>
      <charset val="128"/>
    </font>
    <font>
      <sz val="7"/>
      <color theme="1"/>
      <name val="游ゴシック"/>
      <family val="2"/>
      <charset val="128"/>
      <scheme val="minor"/>
    </font>
    <font>
      <sz val="6"/>
      <name val="游ゴシック"/>
      <family val="3"/>
      <charset val="128"/>
      <scheme val="minor"/>
    </font>
    <font>
      <b/>
      <sz val="9"/>
      <color rgb="FFFF0000"/>
      <name val="游ゴシック"/>
      <family val="3"/>
      <charset val="128"/>
      <scheme val="minor"/>
    </font>
    <font>
      <b/>
      <sz val="10"/>
      <color rgb="FFFF0000"/>
      <name val="ＭＳ ゴシック"/>
      <family val="3"/>
      <charset val="128"/>
    </font>
    <font>
      <sz val="2"/>
      <color theme="1"/>
      <name val="ＭＳ 明朝"/>
      <family val="1"/>
      <charset val="128"/>
    </font>
    <font>
      <b/>
      <u/>
      <sz val="16"/>
      <color rgb="FFFF0000"/>
      <name val="ＭＳ 明朝"/>
      <family val="1"/>
      <charset val="128"/>
    </font>
    <font>
      <u/>
      <sz val="11"/>
      <color theme="1"/>
      <name val="游ゴシック"/>
      <family val="2"/>
      <charset val="128"/>
      <scheme val="minor"/>
    </font>
    <font>
      <u/>
      <sz val="11"/>
      <color theme="1"/>
      <name val="游ゴシック"/>
      <family val="3"/>
      <charset val="128"/>
      <scheme val="minor"/>
    </font>
    <font>
      <u/>
      <sz val="11"/>
      <color rgb="FFFF0000"/>
      <name val="游ゴシック"/>
      <family val="3"/>
      <charset val="128"/>
      <scheme val="minor"/>
    </font>
    <font>
      <sz val="9"/>
      <color theme="0"/>
      <name val="ＭＳ ゴシック"/>
      <family val="3"/>
      <charset val="128"/>
    </font>
    <font>
      <sz val="10"/>
      <color rgb="FFFF0000"/>
      <name val="ＭＳ Ｐゴシック"/>
      <family val="3"/>
      <charset val="128"/>
    </font>
    <font>
      <b/>
      <sz val="6"/>
      <color theme="1"/>
      <name val="ＭＳ ゴシック"/>
      <family val="3"/>
      <charset val="128"/>
    </font>
    <font>
      <b/>
      <sz val="9"/>
      <color rgb="FFFF0000"/>
      <name val="ＭＳ 明朝"/>
      <family val="1"/>
      <charset val="128"/>
    </font>
    <font>
      <sz val="11"/>
      <color theme="0" tint="-0.34998626667073579"/>
      <name val="游ゴシック"/>
      <family val="2"/>
      <charset val="128"/>
      <scheme val="minor"/>
    </font>
    <font>
      <sz val="11"/>
      <color theme="0" tint="-0.34998626667073579"/>
      <name val="游ゴシック"/>
      <family val="3"/>
      <charset val="128"/>
      <scheme val="minor"/>
    </font>
    <font>
      <b/>
      <sz val="11"/>
      <color theme="0" tint="-0.34998626667073579"/>
      <name val="游ゴシック"/>
      <family val="3"/>
      <charset val="128"/>
      <scheme val="minor"/>
    </font>
    <font>
      <b/>
      <sz val="8"/>
      <color theme="0" tint="-0.34998626667073579"/>
      <name val="游ゴシック"/>
      <family val="3"/>
      <charset val="128"/>
      <scheme val="minor"/>
    </font>
    <font>
      <sz val="9"/>
      <color theme="0" tint="-0.34998626667073579"/>
      <name val="游ゴシック"/>
      <family val="3"/>
      <charset val="128"/>
      <scheme val="minor"/>
    </font>
    <font>
      <b/>
      <sz val="10"/>
      <color rgb="FF0000FF"/>
      <name val="ＭＳ 明朝"/>
      <family val="1"/>
      <charset val="128"/>
    </font>
    <font>
      <sz val="11"/>
      <color theme="0" tint="-0.34998626667073579"/>
      <name val="ＭＳ 明朝"/>
      <family val="2"/>
      <charset val="128"/>
    </font>
    <font>
      <sz val="11"/>
      <color theme="1"/>
      <name val="Meiryo UI"/>
      <family val="2"/>
      <charset val="128"/>
    </font>
    <font>
      <b/>
      <sz val="9"/>
      <color rgb="FFFF0000"/>
      <name val="ＭＳ ゴシック"/>
      <family val="3"/>
      <charset val="128"/>
    </font>
    <font>
      <sz val="9"/>
      <color theme="0"/>
      <name val="ＭＳ 明朝"/>
      <family val="2"/>
      <charset val="128"/>
    </font>
    <font>
      <sz val="9"/>
      <color theme="0"/>
      <name val="ＭＳ 明朝"/>
      <family val="1"/>
      <charset val="128"/>
    </font>
    <font>
      <b/>
      <sz val="14"/>
      <color theme="0"/>
      <name val="ＭＳ 明朝"/>
      <family val="1"/>
      <charset val="128"/>
    </font>
    <font>
      <b/>
      <sz val="11"/>
      <color rgb="FF0000FF"/>
      <name val="ＭＳ ゴシック"/>
      <family val="3"/>
      <charset val="128"/>
    </font>
    <font>
      <sz val="10"/>
      <color theme="0" tint="-0.34998626667073579"/>
      <name val="ＭＳ 明朝"/>
      <family val="2"/>
      <charset val="128"/>
    </font>
    <font>
      <b/>
      <sz val="9"/>
      <color theme="0" tint="-0.34998626667073579"/>
      <name val="游ゴシック"/>
      <family val="3"/>
      <charset val="128"/>
      <scheme val="minor"/>
    </font>
    <font>
      <b/>
      <sz val="8"/>
      <color theme="0" tint="-0.34998626667073579"/>
      <name val="ＭＳ 明朝"/>
      <family val="1"/>
      <charset val="128"/>
    </font>
    <font>
      <b/>
      <sz val="9"/>
      <color theme="0" tint="-0.34998626667073579"/>
      <name val="ＭＳ 明朝"/>
      <family val="1"/>
      <charset val="128"/>
    </font>
    <font>
      <sz val="11"/>
      <name val="ＭＳ Ｐ明朝"/>
      <family val="1"/>
      <charset val="128"/>
    </font>
    <font>
      <sz val="9"/>
      <color theme="1"/>
      <name val="游ゴシック"/>
      <family val="3"/>
      <charset val="128"/>
      <scheme val="minor"/>
    </font>
    <font>
      <sz val="9"/>
      <color rgb="FFFF0000"/>
      <name val="游ゴシック"/>
      <family val="2"/>
      <charset val="128"/>
      <scheme val="minor"/>
    </font>
    <font>
      <sz val="11"/>
      <color rgb="FFFF0000"/>
      <name val="MS UI Gothic"/>
      <family val="3"/>
      <charset val="128"/>
    </font>
    <font>
      <b/>
      <sz val="7"/>
      <color rgb="FF0000FF"/>
      <name val="ＭＳ Ｐゴシック"/>
      <family val="3"/>
      <charset val="128"/>
    </font>
    <font>
      <b/>
      <sz val="7"/>
      <color rgb="FFFF0000"/>
      <name val="ＭＳ Ｐゴシック"/>
      <family val="3"/>
      <charset val="128"/>
    </font>
    <font>
      <sz val="10"/>
      <name val="游ゴシック"/>
      <family val="2"/>
      <charset val="128"/>
      <scheme val="minor"/>
    </font>
    <font>
      <sz val="12"/>
      <name val="ＭＳ 明朝"/>
      <family val="1"/>
      <charset val="128"/>
    </font>
    <font>
      <sz val="14"/>
      <color rgb="FFFF0000"/>
      <name val="ＭＳ 明朝"/>
      <family val="1"/>
      <charset val="128"/>
    </font>
    <font>
      <sz val="10"/>
      <color theme="5"/>
      <name val="ＭＳ 明朝"/>
      <family val="1"/>
      <charset val="128"/>
    </font>
    <font>
      <sz val="11"/>
      <color theme="5"/>
      <name val="ＭＳ 明朝"/>
      <family val="1"/>
      <charset val="128"/>
    </font>
    <font>
      <sz val="9"/>
      <color theme="5"/>
      <name val="ＭＳ 明朝"/>
      <family val="1"/>
      <charset val="128"/>
    </font>
    <font>
      <b/>
      <sz val="9"/>
      <color indexed="81"/>
      <name val="MS P ゴシック"/>
      <family val="3"/>
      <charset val="128"/>
    </font>
    <font>
      <sz val="9"/>
      <color indexed="81"/>
      <name val="MS P ゴシック"/>
      <family val="3"/>
      <charset val="128"/>
    </font>
    <font>
      <sz val="7"/>
      <color theme="0" tint="-0.34998626667073579"/>
      <name val="ＭＳ ゴシック"/>
      <family val="3"/>
      <charset val="128"/>
    </font>
    <font>
      <sz val="8"/>
      <color theme="0" tint="-0.34998626667073579"/>
      <name val="ＭＳ ゴシック"/>
      <family val="3"/>
      <charset val="128"/>
    </font>
    <font>
      <sz val="9"/>
      <color theme="0" tint="-0.34998626667073579"/>
      <name val="ＭＳ ゴシック"/>
      <family val="3"/>
      <charset val="128"/>
    </font>
    <font>
      <sz val="11"/>
      <color theme="0" tint="-0.34998626667073579"/>
      <name val="ＭＳ ゴシック"/>
      <family val="3"/>
      <charset val="128"/>
    </font>
    <font>
      <b/>
      <sz val="12"/>
      <color theme="0" tint="-0.34998626667073579"/>
      <name val="游ゴシック"/>
      <family val="3"/>
      <charset val="128"/>
      <scheme val="minor"/>
    </font>
  </fonts>
  <fills count="30">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
      <patternFill patternType="solid">
        <fgColor theme="0"/>
        <bgColor indexed="64"/>
      </patternFill>
    </fill>
    <fill>
      <patternFill patternType="solid">
        <fgColor rgb="FF808080"/>
        <bgColor rgb="FF000000"/>
      </patternFill>
    </fill>
    <fill>
      <patternFill patternType="solid">
        <fgColor rgb="FFFFCCFF"/>
        <bgColor rgb="FF000000"/>
      </patternFill>
    </fill>
    <fill>
      <patternFill patternType="solid">
        <fgColor rgb="FFFF000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CC"/>
        <bgColor rgb="FF000000"/>
      </patternFill>
    </fill>
    <fill>
      <patternFill patternType="solid">
        <fgColor rgb="FF92D050"/>
        <bgColor indexed="64"/>
      </patternFill>
    </fill>
    <fill>
      <patternFill patternType="solid">
        <fgColor theme="0" tint="-4.9989318521683403E-2"/>
        <bgColor rgb="FF000000"/>
      </patternFill>
    </fill>
    <fill>
      <patternFill patternType="solid">
        <fgColor theme="0" tint="-0.249977111117893"/>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CCCCFF"/>
        <bgColor indexed="64"/>
      </patternFill>
    </fill>
    <fill>
      <patternFill patternType="solid">
        <fgColor rgb="FFFFC000"/>
        <bgColor indexed="64"/>
      </patternFill>
    </fill>
    <fill>
      <patternFill patternType="solid">
        <fgColor theme="9" tint="0.39997558519241921"/>
        <bgColor indexed="64"/>
      </patternFill>
    </fill>
    <fill>
      <patternFill patternType="solid">
        <fgColor rgb="FFFFCC00"/>
        <bgColor indexed="64"/>
      </patternFill>
    </fill>
    <fill>
      <patternFill patternType="solid">
        <fgColor rgb="FFCCFFFF"/>
        <bgColor indexed="64"/>
      </patternFill>
    </fill>
    <fill>
      <patternFill patternType="solid">
        <fgColor rgb="FF00B0F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8CBAD"/>
        <bgColor indexed="64"/>
      </patternFill>
    </fill>
  </fills>
  <borders count="92">
    <border>
      <left/>
      <right/>
      <top/>
      <bottom/>
      <diagonal/>
    </border>
    <border>
      <left/>
      <right/>
      <top style="medium">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ck">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diagonalUp="1">
      <left style="thin">
        <color indexed="64"/>
      </left>
      <right style="thin">
        <color indexed="64"/>
      </right>
      <top/>
      <bottom style="thin">
        <color indexed="64"/>
      </bottom>
      <diagonal style="hair">
        <color indexed="64"/>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style="dashed">
        <color indexed="64"/>
      </top>
      <bottom/>
      <diagonal/>
    </border>
    <border>
      <left/>
      <right/>
      <top style="dashed">
        <color indexed="64"/>
      </top>
      <bottom/>
      <diagonal/>
    </border>
    <border>
      <left style="dashed">
        <color indexed="64"/>
      </left>
      <right/>
      <top/>
      <bottom style="dashed">
        <color indexed="64"/>
      </bottom>
      <diagonal/>
    </border>
    <border>
      <left/>
      <right/>
      <top/>
      <bottom style="dashed">
        <color indexed="64"/>
      </bottom>
      <diagonal/>
    </border>
    <border diagonalUp="1">
      <left style="thin">
        <color indexed="64"/>
      </left>
      <right style="thin">
        <color indexed="64"/>
      </right>
      <top/>
      <bottom style="thin">
        <color indexed="64"/>
      </bottom>
      <diagonal style="thin">
        <color indexed="64"/>
      </diagonal>
    </border>
    <border>
      <left/>
      <right style="thin">
        <color indexed="64"/>
      </right>
      <top style="dashed">
        <color indexed="64"/>
      </top>
      <bottom/>
      <diagonal/>
    </border>
    <border>
      <left style="thin">
        <color indexed="64"/>
      </left>
      <right style="dashed">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dashed">
        <color indexed="64"/>
      </left>
      <right style="dashed">
        <color indexed="64"/>
      </right>
      <top style="dashed">
        <color indexed="64"/>
      </top>
      <bottom style="dashed">
        <color indexed="64"/>
      </bottom>
      <diagonal/>
    </border>
    <border>
      <left/>
      <right style="dotted">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hair">
        <color indexed="64"/>
      </right>
      <top style="hair">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thick">
        <color indexed="64"/>
      </bottom>
      <diagonal style="hair">
        <color indexed="64"/>
      </diagonal>
    </border>
    <border>
      <left style="thin">
        <color indexed="64"/>
      </left>
      <right style="medium">
        <color indexed="64"/>
      </right>
      <top style="medium">
        <color indexed="64"/>
      </top>
      <bottom style="thin">
        <color indexed="64"/>
      </bottom>
      <diagonal/>
    </border>
  </borders>
  <cellStyleXfs count="13">
    <xf numFmtId="0" fontId="0" fillId="0" borderId="0">
      <alignment vertical="center"/>
    </xf>
    <xf numFmtId="0" fontId="35" fillId="0" borderId="0"/>
    <xf numFmtId="38" fontId="39" fillId="0" borderId="0" applyFont="0" applyFill="0" applyBorder="0" applyAlignment="0" applyProtection="0">
      <alignment vertical="center"/>
    </xf>
    <xf numFmtId="38" fontId="80" fillId="0" borderId="0" applyFont="0" applyFill="0" applyBorder="0" applyAlignment="0" applyProtection="0">
      <alignment vertical="center"/>
    </xf>
    <xf numFmtId="0" fontId="80" fillId="0" borderId="0">
      <alignment vertical="center"/>
    </xf>
    <xf numFmtId="0" fontId="80" fillId="0" borderId="0">
      <alignment vertical="center"/>
    </xf>
    <xf numFmtId="9" fontId="80" fillId="0" borderId="0" applyFont="0" applyFill="0" applyBorder="0" applyAlignment="0" applyProtection="0">
      <alignment vertical="center"/>
    </xf>
    <xf numFmtId="38" fontId="152" fillId="0" borderId="0" applyFont="0" applyFill="0" applyBorder="0" applyAlignment="0" applyProtection="0">
      <alignment vertical="center"/>
    </xf>
    <xf numFmtId="38" fontId="80" fillId="0" borderId="0" applyFont="0" applyFill="0" applyBorder="0" applyAlignment="0" applyProtection="0">
      <alignment vertical="center"/>
    </xf>
    <xf numFmtId="0" fontId="152" fillId="0" borderId="0">
      <alignment vertical="center"/>
    </xf>
    <xf numFmtId="0" fontId="35" fillId="0" borderId="0"/>
    <xf numFmtId="0" fontId="80" fillId="0" borderId="0">
      <alignment vertical="center"/>
    </xf>
    <xf numFmtId="38" fontId="39" fillId="0" borderId="0" applyFont="0" applyFill="0" applyBorder="0" applyAlignment="0" applyProtection="0">
      <alignment vertical="center"/>
    </xf>
  </cellStyleXfs>
  <cellXfs count="142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9" fillId="0" borderId="0" xfId="0" quotePrefix="1" applyFont="1">
      <alignment vertical="center"/>
    </xf>
    <xf numFmtId="0" fontId="9" fillId="0" borderId="0" xfId="0" applyFont="1">
      <alignment vertical="center"/>
    </xf>
    <xf numFmtId="0" fontId="10" fillId="0" borderId="0" xfId="0" quotePrefix="1" applyFont="1">
      <alignment vertical="center"/>
    </xf>
    <xf numFmtId="0" fontId="10" fillId="0" borderId="0" xfId="0" applyFont="1">
      <alignment vertical="center"/>
    </xf>
    <xf numFmtId="0" fontId="11" fillId="0" borderId="0" xfId="0" applyFont="1">
      <alignment vertical="center"/>
    </xf>
    <xf numFmtId="0" fontId="2" fillId="0" borderId="5" xfId="0" applyFont="1" applyBorder="1">
      <alignment vertical="center"/>
    </xf>
    <xf numFmtId="0" fontId="2" fillId="0" borderId="3"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6" xfId="0" applyFont="1" applyBorder="1">
      <alignment vertical="center"/>
    </xf>
    <xf numFmtId="0" fontId="2" fillId="0" borderId="2" xfId="0" applyFont="1" applyBorder="1">
      <alignment vertical="center"/>
    </xf>
    <xf numFmtId="0" fontId="2" fillId="2" borderId="11" xfId="0" applyFont="1" applyFill="1" applyBorder="1">
      <alignment vertical="center"/>
    </xf>
    <xf numFmtId="0" fontId="5" fillId="2" borderId="10" xfId="0" applyFont="1" applyFill="1" applyBorder="1">
      <alignment vertical="center"/>
    </xf>
    <xf numFmtId="0" fontId="2" fillId="0" borderId="14" xfId="0" applyFont="1" applyBorder="1">
      <alignment vertical="center"/>
    </xf>
    <xf numFmtId="0" fontId="15" fillId="0" borderId="9" xfId="0" applyFont="1" applyBorder="1">
      <alignment vertical="center"/>
    </xf>
    <xf numFmtId="0" fontId="6" fillId="0" borderId="10" xfId="0" applyFont="1" applyBorder="1">
      <alignment vertical="center"/>
    </xf>
    <xf numFmtId="0" fontId="6" fillId="0" borderId="16" xfId="0" applyFont="1" applyBorder="1">
      <alignment vertical="center"/>
    </xf>
    <xf numFmtId="0" fontId="6" fillId="0" borderId="11" xfId="0" applyFont="1" applyBorder="1">
      <alignment vertical="center"/>
    </xf>
    <xf numFmtId="0" fontId="15" fillId="0" borderId="11"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right" vertical="center"/>
    </xf>
    <xf numFmtId="0" fontId="2" fillId="0" borderId="18" xfId="0" applyFont="1" applyBorder="1">
      <alignment vertical="center"/>
    </xf>
    <xf numFmtId="0" fontId="2" fillId="0" borderId="18" xfId="0" applyFont="1" applyBorder="1" applyAlignment="1">
      <alignment horizontal="right" vertical="center"/>
    </xf>
    <xf numFmtId="0" fontId="2" fillId="0" borderId="19" xfId="0" applyFont="1" applyBorder="1">
      <alignment vertical="center"/>
    </xf>
    <xf numFmtId="0" fontId="5" fillId="0" borderId="11" xfId="0" applyFont="1" applyBorder="1">
      <alignment vertical="center"/>
    </xf>
    <xf numFmtId="0" fontId="3" fillId="0" borderId="0" xfId="0" applyFont="1">
      <alignment vertical="center"/>
    </xf>
    <xf numFmtId="0" fontId="5" fillId="0" borderId="6" xfId="0" applyFont="1" applyBorder="1">
      <alignment vertical="center"/>
    </xf>
    <xf numFmtId="0" fontId="5" fillId="0" borderId="7" xfId="0" applyFont="1" applyBorder="1">
      <alignment vertical="center"/>
    </xf>
    <xf numFmtId="0" fontId="0" fillId="0" borderId="0" xfId="0" applyAlignment="1">
      <alignment horizontal="center" vertical="center" wrapText="1"/>
    </xf>
    <xf numFmtId="0" fontId="0" fillId="0" borderId="0" xfId="0" applyAlignment="1">
      <alignment horizontal="center" vertical="center"/>
    </xf>
    <xf numFmtId="0" fontId="2" fillId="0" borderId="0" xfId="0" quotePrefix="1" applyFont="1">
      <alignment vertical="center"/>
    </xf>
    <xf numFmtId="0" fontId="30" fillId="0" borderId="0" xfId="0" applyFont="1">
      <alignment vertical="center"/>
    </xf>
    <xf numFmtId="176" fontId="16" fillId="0" borderId="0" xfId="0" applyNumberFormat="1" applyFont="1" applyAlignment="1">
      <alignment horizontal="right" vertical="center"/>
    </xf>
    <xf numFmtId="0" fontId="43" fillId="0" borderId="0" xfId="0" applyFont="1">
      <alignment vertical="center"/>
    </xf>
    <xf numFmtId="0" fontId="2" fillId="0" borderId="0" xfId="0" applyFont="1" applyAlignment="1">
      <alignment horizontal="center" vertical="center" wrapText="1"/>
    </xf>
    <xf numFmtId="0" fontId="30" fillId="0" borderId="0" xfId="0" applyFont="1" applyAlignment="1">
      <alignment vertical="top"/>
    </xf>
    <xf numFmtId="0" fontId="33" fillId="0" borderId="0" xfId="0" applyFont="1" applyAlignment="1"/>
    <xf numFmtId="0" fontId="2" fillId="0" borderId="0" xfId="0" applyFont="1" applyAlignment="1">
      <alignment horizontal="right" vertical="center"/>
    </xf>
    <xf numFmtId="0" fontId="12" fillId="0" borderId="0" xfId="0" applyFont="1" applyAlignment="1">
      <alignment horizontal="center" vertical="center"/>
    </xf>
    <xf numFmtId="0" fontId="7" fillId="0" borderId="0" xfId="0" applyFont="1" applyAlignment="1"/>
    <xf numFmtId="0" fontId="2" fillId="0" borderId="0" xfId="0" applyFont="1" applyAlignment="1">
      <alignment horizontal="left" vertical="center"/>
    </xf>
    <xf numFmtId="0" fontId="3" fillId="0" borderId="16" xfId="0" applyFont="1" applyBorder="1">
      <alignment vertical="center"/>
    </xf>
    <xf numFmtId="179" fontId="2" fillId="0" borderId="0" xfId="0" applyNumberFormat="1" applyFont="1">
      <alignment vertical="center"/>
    </xf>
    <xf numFmtId="179" fontId="6" fillId="0" borderId="0" xfId="0" applyNumberFormat="1" applyFont="1" applyAlignment="1">
      <alignment horizontal="left" vertical="center"/>
    </xf>
    <xf numFmtId="0" fontId="7" fillId="0" borderId="0" xfId="0" applyFont="1">
      <alignment vertical="center"/>
    </xf>
    <xf numFmtId="0" fontId="45" fillId="0" borderId="0" xfId="0" applyFont="1">
      <alignment vertical="center"/>
    </xf>
    <xf numFmtId="0" fontId="47" fillId="0" borderId="0" xfId="0" applyFont="1">
      <alignment vertical="center"/>
    </xf>
    <xf numFmtId="0" fontId="48" fillId="0" borderId="0" xfId="0" applyFont="1">
      <alignment vertical="center"/>
    </xf>
    <xf numFmtId="49" fontId="45" fillId="0" borderId="0" xfId="0" applyNumberFormat="1" applyFont="1">
      <alignment vertical="center"/>
    </xf>
    <xf numFmtId="0" fontId="0" fillId="2" borderId="4" xfId="0" applyFill="1" applyBorder="1" applyAlignment="1">
      <alignment horizontal="right" vertical="center"/>
    </xf>
    <xf numFmtId="0" fontId="2" fillId="2" borderId="4" xfId="0" applyFont="1" applyFill="1" applyBorder="1" applyAlignment="1">
      <alignment horizontal="left" vertical="center"/>
    </xf>
    <xf numFmtId="0" fontId="50" fillId="0" borderId="0" xfId="0" applyFont="1">
      <alignment vertical="center"/>
    </xf>
    <xf numFmtId="0" fontId="51" fillId="0" borderId="0" xfId="0" applyFont="1">
      <alignment vertical="center"/>
    </xf>
    <xf numFmtId="0" fontId="49" fillId="0" borderId="0" xfId="0" applyFont="1">
      <alignment vertical="center"/>
    </xf>
    <xf numFmtId="0" fontId="52" fillId="0" borderId="0" xfId="0" applyFont="1">
      <alignment vertical="center"/>
    </xf>
    <xf numFmtId="0" fontId="6" fillId="0" borderId="0" xfId="0" applyFont="1" applyAlignment="1">
      <alignment horizontal="center" vertical="center"/>
    </xf>
    <xf numFmtId="49" fontId="30" fillId="0" borderId="0" xfId="0" applyNumberFormat="1" applyFont="1">
      <alignment vertical="center"/>
    </xf>
    <xf numFmtId="38" fontId="40" fillId="6" borderId="4" xfId="2" applyFont="1" applyFill="1" applyBorder="1" applyAlignment="1" applyProtection="1">
      <alignment vertical="center" wrapText="1" shrinkToFit="1"/>
    </xf>
    <xf numFmtId="49" fontId="45" fillId="4" borderId="0" xfId="0" applyNumberFormat="1" applyFont="1" applyFill="1">
      <alignment vertical="center"/>
    </xf>
    <xf numFmtId="0" fontId="45" fillId="4" borderId="0" xfId="0" applyFont="1" applyFill="1">
      <alignment vertical="center"/>
    </xf>
    <xf numFmtId="49" fontId="54" fillId="4" borderId="0" xfId="0" applyNumberFormat="1" applyFont="1" applyFill="1">
      <alignment vertical="center"/>
    </xf>
    <xf numFmtId="49" fontId="30" fillId="4" borderId="0" xfId="0" applyNumberFormat="1" applyFont="1" applyFill="1">
      <alignment vertical="center"/>
    </xf>
    <xf numFmtId="0" fontId="52" fillId="0" borderId="7" xfId="0" applyFont="1" applyBorder="1">
      <alignment vertical="center"/>
    </xf>
    <xf numFmtId="49" fontId="58" fillId="4" borderId="4" xfId="0" applyNumberFormat="1" applyFont="1" applyFill="1" applyBorder="1">
      <alignment vertical="center"/>
    </xf>
    <xf numFmtId="0" fontId="58" fillId="0" borderId="4" xfId="0" applyFont="1" applyBorder="1">
      <alignment vertical="center"/>
    </xf>
    <xf numFmtId="49" fontId="59" fillId="4" borderId="4" xfId="0" applyNumberFormat="1" applyFont="1" applyFill="1" applyBorder="1">
      <alignment vertical="center"/>
    </xf>
    <xf numFmtId="49" fontId="59" fillId="0" borderId="4" xfId="0" applyNumberFormat="1" applyFont="1" applyBorder="1">
      <alignment vertical="center"/>
    </xf>
    <xf numFmtId="49" fontId="58" fillId="0" borderId="4" xfId="0" applyNumberFormat="1" applyFont="1" applyBorder="1">
      <alignment vertical="center"/>
    </xf>
    <xf numFmtId="49" fontId="58" fillId="4" borderId="13" xfId="0" applyNumberFormat="1" applyFont="1" applyFill="1" applyBorder="1">
      <alignment vertical="center"/>
    </xf>
    <xf numFmtId="0" fontId="58" fillId="0" borderId="13" xfId="0" applyFont="1" applyBorder="1">
      <alignment vertical="center"/>
    </xf>
    <xf numFmtId="0" fontId="60" fillId="7" borderId="30" xfId="0" applyFont="1" applyFill="1" applyBorder="1">
      <alignment vertical="center"/>
    </xf>
    <xf numFmtId="0" fontId="45" fillId="0" borderId="32" xfId="0" applyFont="1" applyBorder="1">
      <alignment vertical="center"/>
    </xf>
    <xf numFmtId="0" fontId="61" fillId="0" borderId="58" xfId="0" applyFont="1" applyBorder="1">
      <alignment vertical="center"/>
    </xf>
    <xf numFmtId="0" fontId="62" fillId="0" borderId="0" xfId="0" applyFont="1">
      <alignment vertical="center"/>
    </xf>
    <xf numFmtId="0" fontId="20" fillId="0" borderId="16" xfId="0" applyFont="1" applyBorder="1">
      <alignment vertical="center"/>
    </xf>
    <xf numFmtId="0" fontId="20" fillId="0" borderId="14" xfId="0" applyFont="1" applyBorder="1">
      <alignment vertical="center"/>
    </xf>
    <xf numFmtId="0" fontId="20" fillId="0" borderId="3" xfId="0" applyFont="1" applyBorder="1">
      <alignment vertical="center"/>
    </xf>
    <xf numFmtId="38" fontId="63" fillId="6" borderId="4" xfId="2" applyFont="1" applyFill="1" applyBorder="1" applyAlignment="1" applyProtection="1">
      <alignment vertical="center" wrapText="1" shrinkToFit="1"/>
    </xf>
    <xf numFmtId="0" fontId="2" fillId="0" borderId="4" xfId="0" applyFont="1" applyBorder="1" applyAlignment="1">
      <alignment horizontal="center" vertical="center"/>
    </xf>
    <xf numFmtId="0" fontId="2" fillId="0" borderId="4" xfId="0" applyFont="1" applyBorder="1">
      <alignment vertical="center"/>
    </xf>
    <xf numFmtId="0" fontId="5" fillId="0" borderId="8" xfId="0" applyFont="1" applyBorder="1">
      <alignment vertical="center"/>
    </xf>
    <xf numFmtId="0" fontId="5" fillId="0" borderId="2" xfId="0" applyFont="1" applyBorder="1">
      <alignment vertical="center"/>
    </xf>
    <xf numFmtId="0" fontId="5" fillId="0" borderId="9" xfId="0" applyFont="1" applyBorder="1">
      <alignment vertical="center"/>
    </xf>
    <xf numFmtId="0" fontId="5" fillId="0" borderId="0" xfId="0" applyFont="1" applyProtection="1">
      <alignment vertical="center"/>
      <protection locked="0"/>
    </xf>
    <xf numFmtId="0" fontId="44" fillId="0" borderId="0" xfId="1" quotePrefix="1" applyFont="1" applyAlignment="1">
      <alignment horizontal="left" vertical="center"/>
    </xf>
    <xf numFmtId="0" fontId="36" fillId="0" borderId="0" xfId="1" applyFont="1" applyAlignment="1">
      <alignment horizontal="left" vertical="center"/>
    </xf>
    <xf numFmtId="0" fontId="38" fillId="0" borderId="0" xfId="1" applyFont="1" applyAlignment="1">
      <alignment vertical="center"/>
    </xf>
    <xf numFmtId="0" fontId="38" fillId="0" borderId="4" xfId="1" applyFont="1" applyBorder="1" applyAlignment="1">
      <alignment horizontal="center" vertical="center"/>
    </xf>
    <xf numFmtId="0" fontId="63" fillId="3" borderId="10" xfId="1" applyFont="1" applyFill="1" applyBorder="1" applyAlignment="1">
      <alignment horizontal="left" vertical="center" wrapText="1" shrinkToFit="1"/>
    </xf>
    <xf numFmtId="0" fontId="63" fillId="3" borderId="16" xfId="1" applyFont="1" applyFill="1" applyBorder="1" applyAlignment="1">
      <alignment horizontal="left" vertical="center" wrapText="1" shrinkToFit="1"/>
    </xf>
    <xf numFmtId="0" fontId="38" fillId="0" borderId="9" xfId="1" applyFont="1" applyBorder="1" applyAlignment="1">
      <alignment horizontal="left" vertical="center"/>
    </xf>
    <xf numFmtId="0" fontId="41" fillId="0" borderId="0" xfId="1" applyFont="1" applyAlignment="1">
      <alignment horizontal="center" vertical="center"/>
    </xf>
    <xf numFmtId="0" fontId="38" fillId="0" borderId="11" xfId="1" applyFont="1" applyBorder="1" applyAlignment="1">
      <alignment horizontal="left" vertical="center"/>
    </xf>
    <xf numFmtId="38" fontId="36" fillId="0" borderId="0" xfId="2" applyFont="1" applyFill="1" applyBorder="1" applyAlignment="1" applyProtection="1">
      <alignment vertical="center"/>
    </xf>
    <xf numFmtId="38" fontId="38" fillId="0" borderId="0" xfId="2" applyFont="1" applyFill="1" applyBorder="1" applyAlignment="1" applyProtection="1">
      <alignment vertical="center"/>
    </xf>
    <xf numFmtId="38" fontId="38" fillId="0" borderId="4" xfId="2" applyFont="1" applyFill="1" applyBorder="1" applyAlignment="1" applyProtection="1">
      <alignment horizontal="center" vertical="center"/>
    </xf>
    <xf numFmtId="38" fontId="42" fillId="0" borderId="44" xfId="2" applyFont="1" applyFill="1" applyBorder="1" applyAlignment="1" applyProtection="1">
      <alignment horizontal="center" vertical="center" wrapText="1"/>
    </xf>
    <xf numFmtId="38" fontId="41" fillId="0" borderId="14" xfId="2" applyFont="1" applyFill="1" applyBorder="1" applyAlignment="1" applyProtection="1">
      <alignment horizontal="center" vertical="center"/>
    </xf>
    <xf numFmtId="38" fontId="40" fillId="0" borderId="0" xfId="2" applyFont="1" applyFill="1" applyBorder="1" applyAlignment="1" applyProtection="1">
      <alignment vertical="center"/>
    </xf>
    <xf numFmtId="0" fontId="2" fillId="0" borderId="0" xfId="0" applyFont="1" applyAlignment="1">
      <alignment horizontal="center" vertical="center"/>
    </xf>
    <xf numFmtId="0" fontId="0" fillId="0" borderId="16" xfId="0" applyBorder="1">
      <alignment vertical="center"/>
    </xf>
    <xf numFmtId="0" fontId="0" fillId="0" borderId="11" xfId="0" applyBorder="1">
      <alignment vertical="center"/>
    </xf>
    <xf numFmtId="0" fontId="33" fillId="0" borderId="0" xfId="0" applyFont="1">
      <alignment vertical="center"/>
    </xf>
    <xf numFmtId="0" fontId="33" fillId="0" borderId="0" xfId="0" applyFont="1" applyAlignment="1">
      <alignment horizontal="left" vertical="center"/>
    </xf>
    <xf numFmtId="0" fontId="69" fillId="0" borderId="16" xfId="0" applyFont="1" applyBorder="1" applyAlignment="1">
      <alignment vertical="center" wrapText="1"/>
    </xf>
    <xf numFmtId="0" fontId="5" fillId="0" borderId="14" xfId="0" applyFont="1" applyBorder="1" applyAlignment="1">
      <alignment vertical="center" shrinkToFit="1"/>
    </xf>
    <xf numFmtId="0" fontId="5" fillId="0" borderId="3" xfId="0" applyFont="1" applyBorder="1" applyAlignment="1">
      <alignment vertical="center" shrinkToFit="1"/>
    </xf>
    <xf numFmtId="0" fontId="5" fillId="0" borderId="0" xfId="0" applyFont="1" applyAlignment="1">
      <alignment vertical="center" shrinkToFit="1"/>
    </xf>
    <xf numFmtId="0" fontId="5" fillId="0" borderId="7" xfId="0" applyFont="1" applyBorder="1" applyAlignment="1">
      <alignment vertical="center" shrinkToFit="1"/>
    </xf>
    <xf numFmtId="38" fontId="42" fillId="0" borderId="0" xfId="2" applyFont="1" applyFill="1" applyBorder="1" applyAlignment="1" applyProtection="1">
      <alignment vertical="center"/>
    </xf>
    <xf numFmtId="0" fontId="2" fillId="0" borderId="10" xfId="0" quotePrefix="1" applyFont="1" applyBorder="1">
      <alignment vertical="center"/>
    </xf>
    <xf numFmtId="0" fontId="5" fillId="0" borderId="10" xfId="0" quotePrefix="1" applyFont="1" applyBorder="1">
      <alignment vertical="center"/>
    </xf>
    <xf numFmtId="0" fontId="10" fillId="0" borderId="0" xfId="0" quotePrefix="1" applyFont="1" applyAlignment="1"/>
    <xf numFmtId="0" fontId="2" fillId="0" borderId="0" xfId="0" applyFont="1" applyAlignment="1"/>
    <xf numFmtId="0" fontId="3" fillId="0" borderId="5" xfId="0" applyFont="1" applyBorder="1">
      <alignment vertical="center"/>
    </xf>
    <xf numFmtId="0" fontId="3" fillId="0" borderId="14" xfId="0" applyFont="1" applyBorder="1">
      <alignment vertical="center"/>
    </xf>
    <xf numFmtId="0" fontId="3" fillId="0" borderId="3" xfId="0" applyFont="1" applyBorder="1">
      <alignment vertical="center"/>
    </xf>
    <xf numFmtId="0" fontId="3" fillId="0" borderId="11" xfId="0" applyFont="1" applyBorder="1">
      <alignment vertical="center"/>
    </xf>
    <xf numFmtId="0" fontId="66" fillId="0" borderId="3" xfId="0" applyFont="1" applyBorder="1">
      <alignment vertical="center"/>
    </xf>
    <xf numFmtId="0" fontId="66" fillId="0" borderId="14" xfId="0" applyFont="1" applyBorder="1">
      <alignment vertical="center"/>
    </xf>
    <xf numFmtId="0" fontId="66" fillId="0" borderId="16" xfId="0" applyFont="1" applyBorder="1">
      <alignment vertical="center"/>
    </xf>
    <xf numFmtId="0" fontId="53" fillId="0" borderId="0" xfId="0" applyFont="1" applyAlignment="1">
      <alignment horizontal="left" vertical="center"/>
    </xf>
    <xf numFmtId="0" fontId="2" fillId="0" borderId="70" xfId="0" applyFont="1" applyBorder="1">
      <alignment vertical="center"/>
    </xf>
    <xf numFmtId="0" fontId="2" fillId="0" borderId="71" xfId="0" applyFont="1" applyBorder="1">
      <alignment vertical="center"/>
    </xf>
    <xf numFmtId="0" fontId="5" fillId="0" borderId="72" xfId="0" applyFont="1" applyBorder="1">
      <alignment vertical="center"/>
    </xf>
    <xf numFmtId="0" fontId="5" fillId="0" borderId="66" xfId="0" applyFont="1" applyBorder="1">
      <alignment vertical="center"/>
    </xf>
    <xf numFmtId="0" fontId="2" fillId="0" borderId="66" xfId="0" applyFont="1" applyBorder="1">
      <alignment vertical="center"/>
    </xf>
    <xf numFmtId="0" fontId="5" fillId="0" borderId="69" xfId="0" quotePrefix="1" applyFont="1" applyBorder="1">
      <alignment vertical="center"/>
    </xf>
    <xf numFmtId="0" fontId="72" fillId="0" borderId="0" xfId="0" applyFont="1">
      <alignment vertical="center"/>
    </xf>
    <xf numFmtId="0" fontId="65" fillId="0" borderId="0" xfId="0" applyFont="1">
      <alignment vertical="center"/>
    </xf>
    <xf numFmtId="0" fontId="73" fillId="0" borderId="0" xfId="0" applyFont="1" applyAlignment="1">
      <alignment horizontal="center" vertical="center"/>
    </xf>
    <xf numFmtId="0" fontId="65" fillId="0" borderId="0" xfId="0" applyFont="1" applyAlignment="1">
      <alignment horizontal="center" vertical="center" wrapText="1"/>
    </xf>
    <xf numFmtId="0" fontId="9" fillId="0" borderId="0" xfId="0" applyFont="1" applyAlignment="1"/>
    <xf numFmtId="0" fontId="38" fillId="8" borderId="8" xfId="1" applyFont="1" applyFill="1" applyBorder="1" applyAlignment="1">
      <alignment horizontal="right" vertical="center"/>
    </xf>
    <xf numFmtId="0" fontId="38" fillId="8" borderId="10" xfId="1" applyFont="1" applyFill="1" applyBorder="1" applyAlignment="1">
      <alignment horizontal="right" vertical="center"/>
    </xf>
    <xf numFmtId="38" fontId="38" fillId="12" borderId="4" xfId="2" applyFont="1" applyFill="1" applyBorder="1" applyAlignment="1" applyProtection="1">
      <alignment vertical="center" shrinkToFit="1"/>
    </xf>
    <xf numFmtId="38" fontId="31" fillId="10" borderId="4" xfId="2" applyFont="1" applyFill="1" applyBorder="1" applyAlignment="1" applyProtection="1">
      <alignment horizontal="center" vertical="center"/>
      <protection locked="0"/>
    </xf>
    <xf numFmtId="38" fontId="65" fillId="8" borderId="4" xfId="2" applyFont="1" applyFill="1" applyBorder="1" applyAlignment="1" applyProtection="1">
      <alignment horizontal="right" vertical="center" shrinkToFit="1"/>
    </xf>
    <xf numFmtId="177" fontId="42" fillId="12" borderId="46" xfId="2" applyNumberFormat="1" applyFont="1" applyFill="1" applyBorder="1" applyAlignment="1" applyProtection="1">
      <alignment vertical="center" shrinkToFit="1"/>
    </xf>
    <xf numFmtId="177" fontId="42" fillId="12" borderId="47" xfId="2" applyNumberFormat="1" applyFont="1" applyFill="1" applyBorder="1" applyAlignment="1" applyProtection="1">
      <alignment vertical="center" shrinkToFit="1"/>
    </xf>
    <xf numFmtId="177" fontId="42" fillId="12" borderId="49" xfId="2" applyNumberFormat="1" applyFont="1" applyFill="1" applyBorder="1" applyAlignment="1" applyProtection="1">
      <alignment horizontal="center" vertical="center" shrinkToFit="1"/>
    </xf>
    <xf numFmtId="177" fontId="42" fillId="12" borderId="50" xfId="2" applyNumberFormat="1" applyFont="1" applyFill="1" applyBorder="1" applyAlignment="1" applyProtection="1">
      <alignment horizontal="center" vertical="center" shrinkToFit="1"/>
    </xf>
    <xf numFmtId="38" fontId="38" fillId="12" borderId="4" xfId="2" applyFont="1" applyFill="1" applyBorder="1" applyAlignment="1" applyProtection="1">
      <alignment vertical="center" wrapText="1" shrinkToFit="1"/>
    </xf>
    <xf numFmtId="0" fontId="38" fillId="0" borderId="12" xfId="1" applyFont="1" applyBorder="1" applyAlignment="1">
      <alignment horizontal="center" vertical="center"/>
    </xf>
    <xf numFmtId="0" fontId="20" fillId="0" borderId="0" xfId="0" applyFont="1">
      <alignment vertical="center"/>
    </xf>
    <xf numFmtId="0" fontId="5" fillId="0" borderId="10" xfId="0" applyFont="1" applyBorder="1">
      <alignment vertical="center"/>
    </xf>
    <xf numFmtId="38" fontId="31" fillId="10" borderId="12" xfId="2" applyFont="1" applyFill="1" applyBorder="1" applyAlignment="1" applyProtection="1">
      <alignment horizontal="center" vertical="center"/>
      <protection locked="0"/>
    </xf>
    <xf numFmtId="0" fontId="38" fillId="8" borderId="14" xfId="1" applyFont="1" applyFill="1" applyBorder="1" applyAlignment="1">
      <alignment vertical="center" wrapText="1"/>
    </xf>
    <xf numFmtId="38" fontId="31" fillId="8" borderId="0" xfId="2" applyFont="1" applyFill="1" applyBorder="1" applyAlignment="1" applyProtection="1">
      <alignment horizontal="right" vertical="center" shrinkToFit="1"/>
    </xf>
    <xf numFmtId="0" fontId="40" fillId="0" borderId="0" xfId="1" applyFont="1" applyAlignment="1">
      <alignment vertical="center"/>
    </xf>
    <xf numFmtId="0" fontId="38" fillId="0" borderId="0" xfId="1" applyFont="1" applyAlignment="1">
      <alignment horizontal="left" vertical="center"/>
    </xf>
    <xf numFmtId="0" fontId="65" fillId="0" borderId="0" xfId="1" applyFont="1" applyAlignment="1">
      <alignment vertical="center"/>
    </xf>
    <xf numFmtId="0" fontId="38" fillId="8" borderId="12" xfId="1" applyFont="1" applyFill="1" applyBorder="1" applyAlignment="1">
      <alignment vertical="center" wrapText="1"/>
    </xf>
    <xf numFmtId="181" fontId="31" fillId="8" borderId="15" xfId="2" applyNumberFormat="1" applyFont="1" applyFill="1" applyBorder="1" applyAlignment="1" applyProtection="1">
      <alignment horizontal="right" vertical="center" shrinkToFit="1"/>
    </xf>
    <xf numFmtId="182" fontId="31" fillId="8" borderId="15" xfId="2" applyNumberFormat="1" applyFont="1" applyFill="1" applyBorder="1" applyAlignment="1" applyProtection="1">
      <alignment horizontal="right" vertical="center" shrinkToFit="1"/>
    </xf>
    <xf numFmtId="38" fontId="31" fillId="8" borderId="15" xfId="2" applyFont="1" applyFill="1" applyBorder="1" applyAlignment="1" applyProtection="1">
      <alignment horizontal="right" vertical="center" shrinkToFit="1"/>
    </xf>
    <xf numFmtId="38" fontId="38" fillId="12" borderId="4" xfId="1" applyNumberFormat="1" applyFont="1" applyFill="1" applyBorder="1" applyAlignment="1">
      <alignment vertical="center" wrapText="1" shrinkToFit="1"/>
    </xf>
    <xf numFmtId="38" fontId="38" fillId="12" borderId="11" xfId="1" applyNumberFormat="1" applyFont="1" applyFill="1" applyBorder="1" applyAlignment="1">
      <alignment vertical="center" wrapText="1" shrinkToFit="1"/>
    </xf>
    <xf numFmtId="38" fontId="38" fillId="12" borderId="11" xfId="2" applyFont="1" applyFill="1" applyBorder="1" applyAlignment="1" applyProtection="1">
      <alignment vertical="center" wrapText="1" shrinkToFit="1"/>
    </xf>
    <xf numFmtId="38" fontId="63" fillId="6" borderId="11" xfId="2" applyFont="1" applyFill="1" applyBorder="1" applyAlignment="1" applyProtection="1">
      <alignment vertical="center" wrapText="1" shrinkToFit="1"/>
    </xf>
    <xf numFmtId="0" fontId="2" fillId="0" borderId="0" xfId="0" applyFont="1" applyProtection="1">
      <alignment vertical="center"/>
      <protection locked="0"/>
    </xf>
    <xf numFmtId="49" fontId="2" fillId="0" borderId="2" xfId="0" applyNumberFormat="1" applyFont="1" applyBorder="1" applyProtection="1">
      <alignment vertical="center"/>
      <protection locked="0"/>
    </xf>
    <xf numFmtId="0" fontId="13" fillId="0" borderId="16" xfId="0" applyFont="1" applyBorder="1" applyProtection="1">
      <alignment vertical="center"/>
      <protection locked="0"/>
    </xf>
    <xf numFmtId="0" fontId="4" fillId="0" borderId="4" xfId="0" applyFont="1" applyBorder="1" applyAlignment="1" applyProtection="1">
      <alignment horizontal="center" vertical="center"/>
      <protection locked="0"/>
    </xf>
    <xf numFmtId="0" fontId="5" fillId="0" borderId="16" xfId="0" applyFont="1" applyBorder="1">
      <alignment vertical="center"/>
    </xf>
    <xf numFmtId="0" fontId="5" fillId="0" borderId="16" xfId="0" applyFont="1" applyBorder="1" applyProtection="1">
      <alignment vertical="center"/>
      <protection locked="0"/>
    </xf>
    <xf numFmtId="0" fontId="81" fillId="0" borderId="0" xfId="0" applyFont="1">
      <alignment vertical="center"/>
    </xf>
    <xf numFmtId="0" fontId="6" fillId="0" borderId="70" xfId="0" applyFont="1" applyBorder="1" applyAlignment="1">
      <alignment horizontal="right" vertical="center"/>
    </xf>
    <xf numFmtId="0" fontId="21" fillId="0" borderId="0" xfId="0" applyFont="1" applyAlignment="1">
      <alignment horizontal="center" vertical="center"/>
    </xf>
    <xf numFmtId="0" fontId="2" fillId="0" borderId="4" xfId="0" quotePrefix="1" applyFont="1" applyBorder="1" applyAlignment="1" applyProtection="1">
      <alignment horizontal="center" vertical="center"/>
      <protection locked="0"/>
    </xf>
    <xf numFmtId="0" fontId="15" fillId="2" borderId="4" xfId="0" applyFont="1" applyFill="1" applyBorder="1" applyAlignment="1">
      <alignment horizontal="center" vertical="center" wrapText="1"/>
    </xf>
    <xf numFmtId="0" fontId="15" fillId="2" borderId="4" xfId="0" quotePrefix="1" applyFont="1" applyFill="1" applyBorder="1" applyAlignment="1">
      <alignment horizontal="center" vertical="center" wrapText="1"/>
    </xf>
    <xf numFmtId="0" fontId="10" fillId="9" borderId="10" xfId="0" applyFont="1" applyFill="1" applyBorder="1" applyAlignment="1" applyProtection="1">
      <alignment horizontal="center" vertical="center"/>
      <protection locked="0"/>
    </xf>
    <xf numFmtId="0" fontId="21" fillId="0" borderId="16" xfId="0" applyFont="1" applyBorder="1">
      <alignment vertical="center"/>
    </xf>
    <xf numFmtId="0" fontId="10" fillId="0" borderId="4" xfId="0" applyFont="1" applyBorder="1" applyAlignment="1" applyProtection="1">
      <alignment horizontal="center" vertical="center"/>
      <protection locked="0"/>
    </xf>
    <xf numFmtId="38" fontId="42" fillId="0" borderId="43" xfId="2" applyFont="1" applyFill="1" applyBorder="1" applyAlignment="1" applyProtection="1">
      <alignment horizontal="center" vertical="center" wrapText="1"/>
    </xf>
    <xf numFmtId="38" fontId="40" fillId="0" borderId="10" xfId="2" applyFont="1" applyFill="1" applyBorder="1" applyAlignment="1" applyProtection="1">
      <alignment horizontal="left" vertical="center" wrapText="1" shrinkToFit="1"/>
    </xf>
    <xf numFmtId="38" fontId="40" fillId="0" borderId="16" xfId="2" applyFont="1" applyFill="1" applyBorder="1" applyAlignment="1" applyProtection="1">
      <alignment horizontal="left" vertical="center" wrapText="1" shrinkToFit="1"/>
    </xf>
    <xf numFmtId="38" fontId="40" fillId="0" borderId="11" xfId="2" applyFont="1" applyFill="1" applyBorder="1" applyAlignment="1" applyProtection="1">
      <alignment horizontal="left" vertical="center" wrapText="1" shrinkToFit="1"/>
    </xf>
    <xf numFmtId="179" fontId="40" fillId="8" borderId="13" xfId="1" applyNumberFormat="1" applyFont="1" applyFill="1" applyBorder="1" applyAlignment="1">
      <alignment horizontal="right" vertical="center" wrapText="1"/>
    </xf>
    <xf numFmtId="179" fontId="40" fillId="8" borderId="2" xfId="1" applyNumberFormat="1" applyFont="1" applyFill="1" applyBorder="1" applyAlignment="1">
      <alignment horizontal="right" vertical="center" wrapText="1"/>
    </xf>
    <xf numFmtId="38" fontId="90" fillId="12" borderId="36" xfId="2" applyFont="1" applyFill="1" applyBorder="1" applyAlignment="1" applyProtection="1">
      <alignment horizontal="center" vertical="center" shrinkToFit="1"/>
    </xf>
    <xf numFmtId="38" fontId="89" fillId="12" borderId="36" xfId="2" applyFont="1" applyFill="1" applyBorder="1" applyAlignment="1" applyProtection="1">
      <alignment horizontal="center" vertical="center" shrinkToFit="1"/>
    </xf>
    <xf numFmtId="38" fontId="89" fillId="8" borderId="13" xfId="2" applyFont="1" applyFill="1" applyBorder="1" applyAlignment="1" applyProtection="1">
      <alignment horizontal="center" vertical="center" shrinkToFit="1"/>
      <protection locked="0"/>
    </xf>
    <xf numFmtId="38" fontId="38" fillId="0" borderId="13" xfId="2" applyFont="1" applyFill="1" applyBorder="1" applyAlignment="1" applyProtection="1">
      <alignment vertical="center" shrinkToFit="1"/>
      <protection locked="0"/>
    </xf>
    <xf numFmtId="38" fontId="38" fillId="0" borderId="36" xfId="2" applyFont="1" applyFill="1" applyBorder="1" applyAlignment="1" applyProtection="1">
      <alignment vertical="center" shrinkToFit="1"/>
      <protection locked="0"/>
    </xf>
    <xf numFmtId="0" fontId="38" fillId="8" borderId="10" xfId="1" applyFont="1" applyFill="1" applyBorder="1" applyAlignment="1">
      <alignment horizontal="right" vertical="center" shrinkToFit="1"/>
    </xf>
    <xf numFmtId="38" fontId="41" fillId="0" borderId="0" xfId="2" applyFont="1" applyFill="1" applyBorder="1" applyAlignment="1" applyProtection="1">
      <alignment horizontal="center" vertical="center"/>
    </xf>
    <xf numFmtId="0" fontId="2" fillId="0" borderId="14" xfId="0" applyFont="1" applyBorder="1" applyProtection="1">
      <alignment vertical="center"/>
      <protection locked="0"/>
    </xf>
    <xf numFmtId="0" fontId="2" fillId="0" borderId="3" xfId="0" applyFont="1" applyBorder="1" applyProtection="1">
      <alignment vertical="center"/>
      <protection locked="0"/>
    </xf>
    <xf numFmtId="0" fontId="92" fillId="0" borderId="0" xfId="1" applyFont="1" applyAlignment="1">
      <alignment vertical="center"/>
    </xf>
    <xf numFmtId="38" fontId="92" fillId="0" borderId="0" xfId="2" applyFont="1" applyFill="1" applyBorder="1" applyAlignment="1" applyProtection="1">
      <alignment vertical="center"/>
    </xf>
    <xf numFmtId="0" fontId="6" fillId="0" borderId="5" xfId="0" applyFont="1" applyBorder="1">
      <alignment vertical="center"/>
    </xf>
    <xf numFmtId="0" fontId="6" fillId="0" borderId="14" xfId="0" applyFont="1" applyBorder="1">
      <alignment vertical="center"/>
    </xf>
    <xf numFmtId="0" fontId="3" fillId="0" borderId="6" xfId="0" applyFont="1" applyBorder="1">
      <alignment vertical="center"/>
    </xf>
    <xf numFmtId="0" fontId="6" fillId="0" borderId="5" xfId="0" applyFont="1" applyBorder="1" applyAlignment="1">
      <alignment horizontal="left" vertical="center"/>
    </xf>
    <xf numFmtId="0" fontId="14" fillId="0" borderId="0" xfId="0" applyFont="1">
      <alignment vertical="center"/>
    </xf>
    <xf numFmtId="0" fontId="14" fillId="0" borderId="7" xfId="0" applyFont="1" applyBorder="1">
      <alignment vertical="center"/>
    </xf>
    <xf numFmtId="0" fontId="3" fillId="0" borderId="4"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16" fillId="0" borderId="10" xfId="0" applyFont="1" applyBorder="1" applyAlignment="1">
      <alignment horizontal="left" vertical="center"/>
    </xf>
    <xf numFmtId="0" fontId="16" fillId="0" borderId="16" xfId="0" applyFont="1" applyBorder="1" applyAlignment="1">
      <alignment horizontal="left" vertical="center"/>
    </xf>
    <xf numFmtId="0" fontId="26" fillId="0" borderId="11" xfId="0" applyFont="1" applyBorder="1" applyAlignment="1">
      <alignment horizontal="right" vertical="center"/>
    </xf>
    <xf numFmtId="0" fontId="17" fillId="0" borderId="0" xfId="0" applyFont="1">
      <alignment vertical="center"/>
    </xf>
    <xf numFmtId="0" fontId="16" fillId="0" borderId="0" xfId="0" applyFont="1">
      <alignment vertical="center"/>
    </xf>
    <xf numFmtId="0" fontId="29" fillId="0" borderId="0" xfId="0" applyFont="1">
      <alignment vertical="center"/>
    </xf>
    <xf numFmtId="0" fontId="75" fillId="0" borderId="0" xfId="0" quotePrefix="1" applyFont="1" applyAlignment="1">
      <alignment horizontal="center" vertical="center"/>
    </xf>
    <xf numFmtId="0" fontId="75" fillId="0" borderId="0" xfId="0" applyFont="1">
      <alignment vertical="center"/>
    </xf>
    <xf numFmtId="0" fontId="31" fillId="0" borderId="0" xfId="0" applyFont="1">
      <alignment vertical="center"/>
    </xf>
    <xf numFmtId="0" fontId="31" fillId="0" borderId="0" xfId="0" quotePrefix="1" applyFont="1" applyAlignment="1">
      <alignment horizontal="center" vertical="center"/>
    </xf>
    <xf numFmtId="0" fontId="82" fillId="0" borderId="0" xfId="0" applyFont="1">
      <alignment vertical="center"/>
    </xf>
    <xf numFmtId="0" fontId="19" fillId="0" borderId="0" xfId="0" applyFont="1">
      <alignment vertical="center"/>
    </xf>
    <xf numFmtId="0" fontId="20" fillId="0" borderId="0" xfId="0" applyFont="1" applyAlignment="1">
      <alignment horizontal="right" vertical="center"/>
    </xf>
    <xf numFmtId="0" fontId="20" fillId="0" borderId="0" xfId="0" quotePrefix="1" applyFont="1" applyAlignment="1">
      <alignment horizontal="center" vertical="center"/>
    </xf>
    <xf numFmtId="0" fontId="30" fillId="0" borderId="0" xfId="0" applyFont="1" applyAlignment="1">
      <alignment horizontal="left" vertical="center"/>
    </xf>
    <xf numFmtId="0" fontId="20" fillId="0" borderId="0" xfId="0" applyFont="1" applyAlignment="1">
      <alignment horizontal="left" vertical="center" shrinkToFit="1"/>
    </xf>
    <xf numFmtId="0" fontId="65" fillId="0" borderId="0" xfId="0" quotePrefix="1" applyFont="1" applyAlignment="1">
      <alignment horizontal="center" vertical="center"/>
    </xf>
    <xf numFmtId="0" fontId="21" fillId="0" borderId="0" xfId="0" applyFont="1">
      <alignment vertical="center"/>
    </xf>
    <xf numFmtId="0" fontId="21" fillId="0" borderId="0" xfId="0" applyFont="1" applyAlignment="1">
      <alignment horizontal="right" vertical="center"/>
    </xf>
    <xf numFmtId="0" fontId="21" fillId="0" borderId="0" xfId="0" applyFont="1" applyAlignment="1">
      <alignment horizontal="left" vertical="center" shrinkToFit="1"/>
    </xf>
    <xf numFmtId="0" fontId="21" fillId="4" borderId="0" xfId="0" applyFont="1" applyFill="1">
      <alignment vertical="center"/>
    </xf>
    <xf numFmtId="0" fontId="21" fillId="0" borderId="0" xfId="0" applyFont="1" applyAlignment="1">
      <alignment horizontal="left"/>
    </xf>
    <xf numFmtId="0" fontId="32" fillId="0" borderId="0" xfId="0" applyFont="1">
      <alignment vertical="center"/>
    </xf>
    <xf numFmtId="0" fontId="26" fillId="0" borderId="0" xfId="0" applyFont="1" applyAlignment="1">
      <alignment horizontal="right" vertical="center"/>
    </xf>
    <xf numFmtId="0" fontId="23" fillId="0" borderId="0" xfId="0" applyFont="1" applyAlignment="1">
      <alignment horizontal="right" vertical="center"/>
    </xf>
    <xf numFmtId="0" fontId="19" fillId="0" borderId="0" xfId="0" applyFont="1" applyAlignment="1">
      <alignment horizontal="center" vertical="center" wrapText="1"/>
    </xf>
    <xf numFmtId="0" fontId="19" fillId="0" borderId="8" xfId="0" applyFont="1" applyBorder="1" applyAlignment="1">
      <alignment horizontal="center" vertical="center" wrapText="1"/>
    </xf>
    <xf numFmtId="0" fontId="25" fillId="0" borderId="9" xfId="0" applyFont="1" applyBorder="1" applyAlignment="1">
      <alignment horizontal="right" vertical="center" wrapText="1"/>
    </xf>
    <xf numFmtId="0" fontId="25" fillId="0" borderId="7" xfId="0" applyFont="1" applyBorder="1" applyAlignment="1">
      <alignment horizontal="right" vertical="center" wrapText="1"/>
    </xf>
    <xf numFmtId="0" fontId="25" fillId="0" borderId="0" xfId="0" applyFont="1" applyAlignment="1">
      <alignment horizontal="right" vertical="center" wrapText="1"/>
    </xf>
    <xf numFmtId="0" fontId="26" fillId="0" borderId="9" xfId="0" applyFont="1" applyBorder="1" applyAlignment="1">
      <alignment horizontal="right" vertical="center"/>
    </xf>
    <xf numFmtId="0" fontId="26" fillId="0" borderId="0" xfId="0" applyFont="1">
      <alignment vertical="center"/>
    </xf>
    <xf numFmtId="0" fontId="27" fillId="0" borderId="0" xfId="0" applyFont="1">
      <alignment vertical="center"/>
    </xf>
    <xf numFmtId="0" fontId="26" fillId="0" borderId="14" xfId="0" applyFont="1" applyBorder="1" applyAlignment="1"/>
    <xf numFmtId="0" fontId="26" fillId="0" borderId="14" xfId="0" applyFont="1" applyBorder="1" applyAlignment="1">
      <alignment horizontal="right"/>
    </xf>
    <xf numFmtId="0" fontId="25" fillId="0" borderId="0" xfId="0" applyFont="1" applyAlignment="1"/>
    <xf numFmtId="0" fontId="25" fillId="0" borderId="0" xfId="0" applyFont="1">
      <alignment vertical="center"/>
    </xf>
    <xf numFmtId="0" fontId="26" fillId="0" borderId="0" xfId="0" applyFont="1" applyAlignment="1">
      <alignment vertical="top" shrinkToFit="1"/>
    </xf>
    <xf numFmtId="0" fontId="23" fillId="0" borderId="0" xfId="0" applyFont="1" applyAlignment="1">
      <alignment horizontal="left" vertical="top" wrapText="1"/>
    </xf>
    <xf numFmtId="0" fontId="65" fillId="0" borderId="0" xfId="0" quotePrefix="1" applyFont="1">
      <alignment vertical="center"/>
    </xf>
    <xf numFmtId="0" fontId="22" fillId="0" borderId="0" xfId="0" applyFont="1">
      <alignment vertical="center"/>
    </xf>
    <xf numFmtId="0" fontId="83" fillId="0" borderId="10" xfId="0" applyFont="1" applyBorder="1">
      <alignment vertical="center"/>
    </xf>
    <xf numFmtId="0" fontId="19" fillId="0" borderId="16" xfId="0" applyFont="1" applyBorder="1">
      <alignment vertical="center"/>
    </xf>
    <xf numFmtId="0" fontId="23" fillId="0" borderId="16" xfId="0" applyFont="1" applyBorder="1">
      <alignment vertical="center"/>
    </xf>
    <xf numFmtId="176" fontId="28" fillId="0" borderId="0" xfId="0" applyNumberFormat="1" applyFont="1">
      <alignment vertical="center"/>
    </xf>
    <xf numFmtId="0" fontId="16" fillId="0" borderId="0" xfId="0" applyFont="1" applyAlignment="1">
      <alignment vertical="top" shrinkToFit="1"/>
    </xf>
    <xf numFmtId="0" fontId="82" fillId="0" borderId="0" xfId="0" applyFont="1" applyAlignment="1">
      <alignment horizontal="left" vertical="center"/>
    </xf>
    <xf numFmtId="0" fontId="19" fillId="0" borderId="0" xfId="0" applyFont="1" applyAlignment="1">
      <alignment horizontal="left" vertical="center"/>
    </xf>
    <xf numFmtId="0" fontId="20" fillId="0" borderId="0" xfId="0" quotePrefix="1" applyFont="1" applyAlignment="1">
      <alignment horizontal="left" vertical="center"/>
    </xf>
    <xf numFmtId="0" fontId="20" fillId="0" borderId="0" xfId="0" applyFont="1" applyAlignment="1">
      <alignment horizontal="left" vertical="center"/>
    </xf>
    <xf numFmtId="0" fontId="20" fillId="0" borderId="0" xfId="0" applyFont="1" applyAlignment="1">
      <alignment horizontal="left"/>
    </xf>
    <xf numFmtId="0" fontId="55" fillId="0" borderId="0" xfId="0" applyFont="1">
      <alignment vertical="center"/>
    </xf>
    <xf numFmtId="0" fontId="19" fillId="0" borderId="2" xfId="0" applyFont="1" applyBorder="1" applyAlignment="1">
      <alignment horizontal="right" vertical="center"/>
    </xf>
    <xf numFmtId="0" fontId="16" fillId="0" borderId="0" xfId="0" applyFont="1" applyAlignment="1">
      <alignment horizontal="left" vertical="center"/>
    </xf>
    <xf numFmtId="176" fontId="25" fillId="0" borderId="0" xfId="0" quotePrefix="1" applyNumberFormat="1" applyFont="1">
      <alignment vertical="center"/>
    </xf>
    <xf numFmtId="176" fontId="25" fillId="0" borderId="0" xfId="0" applyNumberFormat="1" applyFont="1">
      <alignment vertical="center"/>
    </xf>
    <xf numFmtId="176" fontId="16" fillId="0" borderId="0" xfId="0" applyNumberFormat="1" applyFont="1" applyAlignment="1">
      <alignment horizontal="left" vertical="center"/>
    </xf>
    <xf numFmtId="176" fontId="26" fillId="0" borderId="0" xfId="0" applyNumberFormat="1" applyFont="1" applyAlignment="1">
      <alignment horizontal="center" vertical="center"/>
    </xf>
    <xf numFmtId="176" fontId="16" fillId="0" borderId="0" xfId="0" applyNumberFormat="1" applyFont="1">
      <alignment vertical="center"/>
    </xf>
    <xf numFmtId="0" fontId="57" fillId="0" borderId="0" xfId="1" applyFont="1" applyAlignment="1">
      <alignment vertical="center"/>
    </xf>
    <xf numFmtId="0" fontId="42" fillId="0" borderId="0" xfId="1" applyFont="1" applyAlignment="1">
      <alignment vertical="center"/>
    </xf>
    <xf numFmtId="38" fontId="38" fillId="12" borderId="67" xfId="2" applyFont="1" applyFill="1" applyBorder="1" applyAlignment="1" applyProtection="1">
      <alignment horizontal="center" vertical="center" shrinkToFit="1"/>
    </xf>
    <xf numFmtId="0" fontId="57" fillId="0" borderId="0" xfId="1" applyFont="1" applyAlignment="1">
      <alignment horizontal="center" vertical="center"/>
    </xf>
    <xf numFmtId="0" fontId="63" fillId="0" borderId="0" xfId="1" applyFont="1" applyAlignment="1">
      <alignment vertical="center"/>
    </xf>
    <xf numFmtId="0" fontId="64" fillId="0" borderId="0" xfId="1" applyFont="1" applyAlignment="1">
      <alignment vertical="center"/>
    </xf>
    <xf numFmtId="0" fontId="79" fillId="0" borderId="0" xfId="1" applyFont="1" applyAlignment="1">
      <alignment vertical="center"/>
    </xf>
    <xf numFmtId="0" fontId="78" fillId="0" borderId="0" xfId="1" applyFont="1" applyAlignment="1">
      <alignment vertical="center"/>
    </xf>
    <xf numFmtId="38" fontId="31" fillId="8" borderId="0" xfId="2" applyFont="1" applyFill="1" applyBorder="1" applyAlignment="1" applyProtection="1">
      <alignment horizontal="right" vertical="center" shrinkToFit="1"/>
      <protection locked="0"/>
    </xf>
    <xf numFmtId="0" fontId="40" fillId="8" borderId="2" xfId="1" applyFont="1" applyFill="1" applyBorder="1" applyAlignment="1" applyProtection="1">
      <alignment horizontal="right" vertical="center" wrapText="1"/>
      <protection locked="0"/>
    </xf>
    <xf numFmtId="0" fontId="85" fillId="0" borderId="0" xfId="0" applyFont="1" applyAlignment="1">
      <alignment horizontal="center" vertical="center"/>
    </xf>
    <xf numFmtId="38" fontId="38" fillId="8" borderId="37" xfId="2" applyFont="1" applyFill="1" applyBorder="1" applyAlignment="1" applyProtection="1">
      <alignment vertical="center" shrinkToFit="1"/>
    </xf>
    <xf numFmtId="38" fontId="38" fillId="8" borderId="38" xfId="2" applyFont="1" applyFill="1" applyBorder="1" applyAlignment="1" applyProtection="1">
      <alignment vertical="center" shrinkToFit="1"/>
    </xf>
    <xf numFmtId="0" fontId="76" fillId="8" borderId="51" xfId="1" applyFont="1" applyFill="1" applyBorder="1" applyAlignment="1">
      <alignment vertical="center"/>
    </xf>
    <xf numFmtId="0" fontId="38" fillId="8" borderId="51" xfId="1" applyFont="1" applyFill="1" applyBorder="1" applyAlignment="1">
      <alignment vertical="center"/>
    </xf>
    <xf numFmtId="0" fontId="76" fillId="8" borderId="37" xfId="1" applyFont="1" applyFill="1" applyBorder="1" applyAlignment="1">
      <alignment vertical="center"/>
    </xf>
    <xf numFmtId="38" fontId="38" fillId="8" borderId="51" xfId="2" applyFont="1" applyFill="1" applyBorder="1" applyAlignment="1" applyProtection="1">
      <alignment vertical="center"/>
    </xf>
    <xf numFmtId="0" fontId="3" fillId="0" borderId="17" xfId="0" applyFont="1" applyBorder="1">
      <alignment vertical="center"/>
    </xf>
    <xf numFmtId="0" fontId="3" fillId="0" borderId="52" xfId="0" applyFont="1" applyBorder="1">
      <alignment vertical="center"/>
    </xf>
    <xf numFmtId="0" fontId="3" fillId="0" borderId="53" xfId="0" applyFont="1" applyBorder="1">
      <alignment vertical="center"/>
    </xf>
    <xf numFmtId="0" fontId="3" fillId="0" borderId="8" xfId="0" applyFont="1" applyBorder="1">
      <alignment vertical="center"/>
    </xf>
    <xf numFmtId="0" fontId="3" fillId="0" borderId="55" xfId="0" applyFont="1" applyBorder="1">
      <alignment vertical="center"/>
    </xf>
    <xf numFmtId="0" fontId="3" fillId="0" borderId="56" xfId="0" applyFont="1" applyBorder="1">
      <alignment vertical="center"/>
    </xf>
    <xf numFmtId="0" fontId="2" fillId="2" borderId="10" xfId="0" applyFont="1" applyFill="1" applyBorder="1">
      <alignment vertical="center"/>
    </xf>
    <xf numFmtId="0" fontId="2" fillId="2" borderId="16" xfId="0" applyFont="1" applyFill="1" applyBorder="1">
      <alignment vertical="center"/>
    </xf>
    <xf numFmtId="0" fontId="2" fillId="2" borderId="0" xfId="0" applyFont="1" applyFill="1">
      <alignment vertical="center"/>
    </xf>
    <xf numFmtId="0" fontId="87" fillId="0" borderId="10" xfId="0" applyFont="1" applyBorder="1">
      <alignment vertical="center"/>
    </xf>
    <xf numFmtId="0" fontId="87" fillId="0" borderId="16" xfId="0" applyFont="1" applyBorder="1">
      <alignment vertical="center"/>
    </xf>
    <xf numFmtId="0" fontId="87" fillId="0" borderId="11" xfId="0" applyFont="1" applyBorder="1">
      <alignment vertical="center"/>
    </xf>
    <xf numFmtId="0" fontId="25" fillId="0" borderId="16" xfId="0" applyFont="1" applyBorder="1">
      <alignment vertical="center"/>
    </xf>
    <xf numFmtId="0" fontId="55" fillId="0" borderId="0" xfId="0" applyFont="1" applyAlignment="1">
      <alignment horizontal="right" vertical="center"/>
    </xf>
    <xf numFmtId="0" fontId="55" fillId="0" borderId="0" xfId="0" applyFont="1" applyAlignment="1">
      <alignment horizontal="center" vertical="center"/>
    </xf>
    <xf numFmtId="0" fontId="7" fillId="0" borderId="31" xfId="0" applyFont="1" applyBorder="1">
      <alignment vertical="center"/>
    </xf>
    <xf numFmtId="0" fontId="54" fillId="0" borderId="0" xfId="0" applyFont="1">
      <alignment vertical="center"/>
    </xf>
    <xf numFmtId="0" fontId="96" fillId="0" borderId="0" xfId="0" applyFont="1">
      <alignment vertical="center"/>
    </xf>
    <xf numFmtId="49" fontId="97" fillId="0" borderId="0" xfId="0" applyNumberFormat="1" applyFont="1">
      <alignment vertical="center"/>
    </xf>
    <xf numFmtId="0" fontId="97" fillId="0" borderId="0" xfId="0" applyFont="1">
      <alignment vertical="center"/>
    </xf>
    <xf numFmtId="49" fontId="97" fillId="4" borderId="0" xfId="0" applyNumberFormat="1" applyFont="1" applyFill="1">
      <alignment vertical="center"/>
    </xf>
    <xf numFmtId="0" fontId="97" fillId="4" borderId="0" xfId="0" applyFont="1" applyFill="1">
      <alignment vertical="center"/>
    </xf>
    <xf numFmtId="0" fontId="96" fillId="0" borderId="0" xfId="0" applyFont="1" applyAlignment="1"/>
    <xf numFmtId="49" fontId="97" fillId="0" borderId="0" xfId="0" applyNumberFormat="1" applyFont="1" applyAlignment="1"/>
    <xf numFmtId="0" fontId="97" fillId="0" borderId="0" xfId="0" applyFont="1" applyAlignment="1"/>
    <xf numFmtId="0" fontId="97" fillId="4" borderId="0" xfId="0" applyFont="1" applyFill="1" applyAlignment="1"/>
    <xf numFmtId="0" fontId="99" fillId="0" borderId="0" xfId="0" applyFont="1">
      <alignment vertical="center"/>
    </xf>
    <xf numFmtId="0" fontId="97" fillId="0" borderId="0" xfId="0" applyFont="1" applyAlignment="1">
      <alignment horizontal="left" vertical="center"/>
    </xf>
    <xf numFmtId="0" fontId="100" fillId="0" borderId="0" xfId="0" applyFont="1">
      <alignment vertical="center"/>
    </xf>
    <xf numFmtId="0" fontId="101" fillId="0" borderId="0" xfId="0" applyFont="1">
      <alignment vertical="center"/>
    </xf>
    <xf numFmtId="49" fontId="101" fillId="0" borderId="0" xfId="0" applyNumberFormat="1" applyFont="1">
      <alignment vertical="center"/>
    </xf>
    <xf numFmtId="0" fontId="102" fillId="0" borderId="0" xfId="0" applyFont="1">
      <alignment vertical="center"/>
    </xf>
    <xf numFmtId="0" fontId="103" fillId="0" borderId="0" xfId="0" applyFont="1">
      <alignment vertical="center"/>
    </xf>
    <xf numFmtId="49" fontId="103" fillId="0" borderId="0" xfId="0" applyNumberFormat="1" applyFont="1">
      <alignment vertical="center"/>
    </xf>
    <xf numFmtId="0" fontId="104" fillId="0" borderId="0" xfId="0" applyFont="1">
      <alignment vertical="center"/>
    </xf>
    <xf numFmtId="0" fontId="105" fillId="0" borderId="0" xfId="0" applyFont="1">
      <alignment vertical="center"/>
    </xf>
    <xf numFmtId="0" fontId="104" fillId="0" borderId="0" xfId="0" applyFont="1" applyAlignment="1">
      <alignment horizontal="center" vertical="center"/>
    </xf>
    <xf numFmtId="0" fontId="95" fillId="0" borderId="0" xfId="0" applyFont="1" applyAlignment="1" applyProtection="1">
      <alignment horizontal="right" vertical="center"/>
      <protection locked="0"/>
    </xf>
    <xf numFmtId="0" fontId="13" fillId="0" borderId="0" xfId="0" applyFont="1">
      <alignment vertical="center"/>
    </xf>
    <xf numFmtId="0" fontId="106" fillId="0" borderId="0" xfId="0" applyFont="1">
      <alignment vertical="center"/>
    </xf>
    <xf numFmtId="0" fontId="2" fillId="0" borderId="69" xfId="0" applyFont="1" applyBorder="1" applyAlignment="1" applyProtection="1">
      <alignment horizontal="center" vertical="center"/>
      <protection locked="0"/>
    </xf>
    <xf numFmtId="0" fontId="53" fillId="0" borderId="0" xfId="0" applyFont="1">
      <alignment vertical="center"/>
    </xf>
    <xf numFmtId="0" fontId="2" fillId="0" borderId="74" xfId="0" applyFont="1" applyBorder="1" applyAlignment="1" applyProtection="1">
      <alignment horizontal="center" vertical="center"/>
      <protection locked="0"/>
    </xf>
    <xf numFmtId="0" fontId="2" fillId="0" borderId="4" xfId="0" applyFont="1" applyBorder="1" applyProtection="1">
      <alignment vertical="center"/>
      <protection locked="0"/>
    </xf>
    <xf numFmtId="0" fontId="3" fillId="0" borderId="16" xfId="0" applyFont="1" applyBorder="1" applyProtection="1">
      <alignment vertical="center"/>
      <protection locked="0"/>
    </xf>
    <xf numFmtId="0" fontId="31" fillId="8" borderId="0" xfId="2" applyNumberFormat="1" applyFont="1" applyFill="1" applyBorder="1" applyAlignment="1" applyProtection="1">
      <alignment horizontal="right" vertical="center" shrinkToFit="1"/>
      <protection locked="0"/>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53" fillId="0" borderId="70" xfId="0" applyFont="1" applyBorder="1">
      <alignment vertical="center"/>
    </xf>
    <xf numFmtId="0" fontId="45" fillId="0" borderId="30" xfId="0" applyFont="1" applyBorder="1">
      <alignment vertical="center"/>
    </xf>
    <xf numFmtId="0" fontId="45" fillId="0" borderId="31" xfId="0" applyFont="1" applyBorder="1">
      <alignment vertical="center"/>
    </xf>
    <xf numFmtId="0" fontId="7" fillId="0" borderId="32" xfId="0" applyFont="1" applyBorder="1">
      <alignment vertical="center"/>
    </xf>
    <xf numFmtId="0" fontId="111" fillId="0" borderId="83" xfId="0" applyFont="1" applyBorder="1" applyAlignment="1">
      <alignment horizontal="center" vertical="center"/>
    </xf>
    <xf numFmtId="0" fontId="112" fillId="0" borderId="0" xfId="0" applyFont="1">
      <alignment vertical="center"/>
    </xf>
    <xf numFmtId="0" fontId="113" fillId="0" borderId="0" xfId="0" applyFont="1">
      <alignment vertical="center"/>
    </xf>
    <xf numFmtId="0" fontId="5" fillId="0" borderId="0" xfId="0" quotePrefix="1" applyFont="1">
      <alignment vertical="center"/>
    </xf>
    <xf numFmtId="0" fontId="5" fillId="0" borderId="0" xfId="0" applyFont="1" applyAlignment="1">
      <alignment horizontal="right" vertical="center"/>
    </xf>
    <xf numFmtId="0" fontId="87" fillId="0" borderId="0" xfId="0" applyFont="1" applyAlignment="1">
      <alignment horizontal="left" vertical="center"/>
    </xf>
    <xf numFmtId="0" fontId="2" fillId="0" borderId="0" xfId="0" applyFont="1" applyAlignment="1">
      <alignment vertical="top"/>
    </xf>
    <xf numFmtId="0" fontId="98" fillId="0" borderId="0" xfId="0" applyFont="1">
      <alignment vertical="center"/>
    </xf>
    <xf numFmtId="49" fontId="98" fillId="0" borderId="0" xfId="0" applyNumberFormat="1" applyFont="1">
      <alignment vertical="center"/>
    </xf>
    <xf numFmtId="0" fontId="117" fillId="0" borderId="0" xfId="0" applyFont="1">
      <alignment vertical="center"/>
    </xf>
    <xf numFmtId="0" fontId="55" fillId="0" borderId="0" xfId="0" applyFont="1" applyAlignment="1">
      <alignment horizontal="left" vertical="center"/>
    </xf>
    <xf numFmtId="0" fontId="120" fillId="0" borderId="0" xfId="0" applyFont="1" applyAlignment="1">
      <alignment horizontal="left" vertical="center" shrinkToFit="1"/>
    </xf>
    <xf numFmtId="0" fontId="25" fillId="0" borderId="2" xfId="0" applyFont="1" applyBorder="1" applyAlignment="1">
      <alignment horizontal="center" vertical="center"/>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25" fillId="0" borderId="6" xfId="0" applyFont="1" applyBorder="1" applyAlignment="1">
      <alignment horizontal="right" vertical="center" shrinkToFit="1"/>
    </xf>
    <xf numFmtId="0" fontId="25" fillId="0" borderId="0" xfId="0" applyFont="1" applyAlignment="1">
      <alignment horizontal="right" vertical="center" shrinkToFit="1"/>
    </xf>
    <xf numFmtId="0" fontId="2" fillId="0" borderId="14" xfId="0" applyFont="1" applyBorder="1" applyAlignment="1">
      <alignment horizontal="right" vertical="top"/>
    </xf>
    <xf numFmtId="0" fontId="19" fillId="0" borderId="2" xfId="0" applyFont="1" applyBorder="1" applyAlignment="1">
      <alignment horizontal="center" vertical="center" wrapText="1"/>
    </xf>
    <xf numFmtId="0" fontId="25" fillId="0" borderId="0" xfId="0" applyFont="1" applyAlignment="1">
      <alignment horizontal="center" vertical="center"/>
    </xf>
    <xf numFmtId="176" fontId="18" fillId="0" borderId="0" xfId="0" applyNumberFormat="1" applyFont="1" applyAlignment="1">
      <alignment horizontal="right" vertical="center"/>
    </xf>
    <xf numFmtId="181" fontId="53" fillId="0" borderId="0" xfId="0" applyNumberFormat="1" applyFont="1" applyAlignment="1">
      <alignment horizontal="right" vertical="center"/>
    </xf>
    <xf numFmtId="0" fontId="3" fillId="0" borderId="0" xfId="0" applyFont="1" applyAlignment="1">
      <alignment vertical="center" shrinkToFit="1"/>
    </xf>
    <xf numFmtId="0" fontId="21" fillId="0" borderId="0" xfId="0" applyFont="1" applyAlignment="1">
      <alignment vertical="center" shrinkToFit="1"/>
    </xf>
    <xf numFmtId="0" fontId="21" fillId="0" borderId="0" xfId="0" applyFont="1" applyAlignment="1">
      <alignment horizontal="right" vertical="center" shrinkToFit="1"/>
    </xf>
    <xf numFmtId="0" fontId="77" fillId="0" borderId="0" xfId="0" applyFont="1" applyAlignment="1">
      <alignment horizontal="right" vertical="center"/>
    </xf>
    <xf numFmtId="0" fontId="96" fillId="0" borderId="0" xfId="0" applyFont="1" applyAlignment="1">
      <alignment horizontal="left" vertical="center" shrinkToFit="1"/>
    </xf>
    <xf numFmtId="0" fontId="26" fillId="0" borderId="13" xfId="0" applyFont="1" applyBorder="1" applyAlignment="1">
      <alignment horizontal="center" vertical="center"/>
    </xf>
    <xf numFmtId="0" fontId="77" fillId="0" borderId="0" xfId="0" applyFont="1">
      <alignment vertical="center"/>
    </xf>
    <xf numFmtId="0" fontId="12" fillId="0" borderId="9" xfId="0" applyFont="1" applyBorder="1">
      <alignment vertical="center"/>
    </xf>
    <xf numFmtId="0" fontId="5" fillId="0" borderId="0" xfId="0" applyFont="1" applyAlignment="1">
      <alignment horizontal="center" vertical="center" shrinkToFit="1"/>
    </xf>
    <xf numFmtId="0" fontId="12" fillId="0" borderId="0" xfId="0" applyFont="1" applyAlignment="1">
      <alignment horizontal="center" vertical="center" shrinkToFit="1"/>
    </xf>
    <xf numFmtId="0" fontId="0" fillId="0" borderId="0" xfId="0" applyAlignment="1">
      <alignment vertical="center" shrinkToFit="1"/>
    </xf>
    <xf numFmtId="0" fontId="12" fillId="0" borderId="0" xfId="0" applyFont="1">
      <alignment vertical="center"/>
    </xf>
    <xf numFmtId="0" fontId="126" fillId="0" borderId="0" xfId="0" applyFont="1">
      <alignment vertical="center"/>
    </xf>
    <xf numFmtId="0" fontId="127" fillId="0" borderId="0" xfId="0" applyFont="1">
      <alignment vertical="center"/>
    </xf>
    <xf numFmtId="0" fontId="2" fillId="0" borderId="0" xfId="1" applyFont="1" applyAlignment="1">
      <alignment vertical="center" wrapText="1"/>
    </xf>
    <xf numFmtId="0" fontId="2" fillId="16" borderId="88" xfId="1" applyFont="1" applyFill="1" applyBorder="1" applyAlignment="1">
      <alignment horizontal="center" vertical="center" wrapText="1"/>
    </xf>
    <xf numFmtId="0" fontId="2" fillId="16" borderId="89" xfId="1" applyFont="1" applyFill="1" applyBorder="1" applyAlignment="1">
      <alignment horizontal="center" vertical="center" wrapText="1"/>
    </xf>
    <xf numFmtId="0" fontId="2" fillId="17" borderId="89" xfId="1" applyFont="1" applyFill="1" applyBorder="1" applyAlignment="1">
      <alignment horizontal="center" vertical="center" wrapText="1"/>
    </xf>
    <xf numFmtId="0" fontId="2" fillId="17" borderId="89" xfId="1" applyFont="1" applyFill="1" applyBorder="1" applyAlignment="1">
      <alignment vertical="center" wrapText="1"/>
    </xf>
    <xf numFmtId="0" fontId="2" fillId="18" borderId="89" xfId="1" applyFont="1" applyFill="1" applyBorder="1" applyAlignment="1">
      <alignment vertical="center" wrapText="1"/>
    </xf>
    <xf numFmtId="0" fontId="2" fillId="19" borderId="89" xfId="1" applyFont="1" applyFill="1" applyBorder="1" applyAlignment="1">
      <alignment vertical="center" shrinkToFit="1"/>
    </xf>
    <xf numFmtId="0" fontId="2" fillId="19" borderId="89" xfId="1" applyFont="1" applyFill="1" applyBorder="1" applyAlignment="1">
      <alignment horizontal="center" vertical="center" wrapText="1"/>
    </xf>
    <xf numFmtId="38" fontId="3" fillId="20" borderId="89" xfId="3" applyFont="1" applyFill="1" applyBorder="1" applyAlignment="1">
      <alignment vertical="center" wrapText="1"/>
    </xf>
    <xf numFmtId="38" fontId="3" fillId="21" borderId="89" xfId="3" applyFont="1" applyFill="1" applyBorder="1" applyAlignment="1">
      <alignment vertical="center" wrapText="1"/>
    </xf>
    <xf numFmtId="0" fontId="2" fillId="20" borderId="89" xfId="1" applyFont="1" applyFill="1" applyBorder="1" applyAlignment="1">
      <alignment vertical="center" wrapText="1"/>
    </xf>
    <xf numFmtId="0" fontId="2" fillId="19" borderId="89" xfId="1" applyFont="1" applyFill="1" applyBorder="1" applyAlignment="1">
      <alignment vertical="center" wrapText="1"/>
    </xf>
    <xf numFmtId="0" fontId="2" fillId="21" borderId="89" xfId="1" applyFont="1" applyFill="1" applyBorder="1" applyAlignment="1">
      <alignment vertical="center" wrapText="1"/>
    </xf>
    <xf numFmtId="38" fontId="2" fillId="20" borderId="89" xfId="1" applyNumberFormat="1" applyFont="1" applyFill="1" applyBorder="1" applyAlignment="1">
      <alignment vertical="center" wrapText="1"/>
    </xf>
    <xf numFmtId="3" fontId="2" fillId="20" borderId="89" xfId="1" applyNumberFormat="1" applyFont="1" applyFill="1" applyBorder="1" applyAlignment="1">
      <alignment vertical="center" wrapText="1"/>
    </xf>
    <xf numFmtId="180" fontId="3" fillId="20" borderId="89" xfId="3" applyNumberFormat="1" applyFont="1" applyFill="1" applyBorder="1" applyAlignment="1">
      <alignment vertical="center" wrapText="1"/>
    </xf>
    <xf numFmtId="0" fontId="128" fillId="0" borderId="0" xfId="0" applyFont="1" applyAlignment="1">
      <alignment horizontal="left" vertical="center"/>
    </xf>
    <xf numFmtId="0" fontId="123" fillId="0" borderId="0" xfId="0" applyFont="1">
      <alignment vertical="center"/>
    </xf>
    <xf numFmtId="0" fontId="0" fillId="9" borderId="0" xfId="0" applyFill="1">
      <alignment vertical="center"/>
    </xf>
    <xf numFmtId="0" fontId="124" fillId="9" borderId="0" xfId="0" applyFont="1" applyFill="1">
      <alignment vertical="center"/>
    </xf>
    <xf numFmtId="0" fontId="108" fillId="9" borderId="0" xfId="0" applyFont="1" applyFill="1" applyAlignment="1">
      <alignment horizontal="right" vertical="center"/>
    </xf>
    <xf numFmtId="0" fontId="114" fillId="17" borderId="89" xfId="1" applyFont="1" applyFill="1" applyBorder="1" applyAlignment="1">
      <alignment horizontal="center" vertical="center" wrapText="1"/>
    </xf>
    <xf numFmtId="0" fontId="114" fillId="17" borderId="89" xfId="1" applyFont="1" applyFill="1" applyBorder="1" applyAlignment="1">
      <alignment vertical="center" wrapText="1"/>
    </xf>
    <xf numFmtId="0" fontId="114" fillId="18" borderId="89" xfId="1" applyFont="1" applyFill="1" applyBorder="1" applyAlignment="1">
      <alignment vertical="center" wrapText="1"/>
    </xf>
    <xf numFmtId="0" fontId="35" fillId="19" borderId="89" xfId="1" applyFill="1" applyBorder="1" applyAlignment="1">
      <alignment horizontal="center" vertical="center" wrapText="1"/>
    </xf>
    <xf numFmtId="0" fontId="35" fillId="16" borderId="89" xfId="1" applyFill="1" applyBorder="1" applyAlignment="1">
      <alignment horizontal="center" vertical="center" wrapText="1"/>
    </xf>
    <xf numFmtId="38" fontId="38" fillId="8" borderId="90" xfId="2" applyFont="1" applyFill="1" applyBorder="1" applyAlignment="1" applyProtection="1">
      <alignment vertical="center" shrinkToFit="1"/>
    </xf>
    <xf numFmtId="0" fontId="6" fillId="0" borderId="0" xfId="0" applyFont="1" applyAlignment="1">
      <alignment horizontal="left" vertical="center" wrapText="1"/>
    </xf>
    <xf numFmtId="0" fontId="35" fillId="14" borderId="4" xfId="1" applyFill="1" applyBorder="1" applyAlignment="1">
      <alignment vertical="center" wrapText="1"/>
    </xf>
    <xf numFmtId="0" fontId="0" fillId="0" borderId="4" xfId="0" applyBorder="1">
      <alignment vertical="center"/>
    </xf>
    <xf numFmtId="0" fontId="35" fillId="22" borderId="4" xfId="1" applyFill="1" applyBorder="1" applyAlignment="1">
      <alignment vertical="center" wrapText="1"/>
    </xf>
    <xf numFmtId="0" fontId="0" fillId="23" borderId="4" xfId="0" applyFill="1" applyBorder="1">
      <alignment vertical="center"/>
    </xf>
    <xf numFmtId="0" fontId="0" fillId="23" borderId="4" xfId="0" applyFill="1" applyBorder="1" applyAlignment="1">
      <alignment vertical="center" wrapText="1"/>
    </xf>
    <xf numFmtId="0" fontId="0" fillId="0" borderId="4" xfId="0" applyBorder="1" applyAlignment="1"/>
    <xf numFmtId="0" fontId="0" fillId="3" borderId="4" xfId="0" applyFill="1" applyBorder="1" applyAlignment="1"/>
    <xf numFmtId="0" fontId="0" fillId="3" borderId="4" xfId="0" applyFill="1" applyBorder="1">
      <alignment vertical="center"/>
    </xf>
    <xf numFmtId="185" fontId="126" fillId="0" borderId="0" xfId="0" applyNumberFormat="1" applyFont="1">
      <alignment vertical="center"/>
    </xf>
    <xf numFmtId="185" fontId="35" fillId="14" borderId="4" xfId="1" applyNumberFormat="1" applyFill="1" applyBorder="1" applyAlignment="1">
      <alignment vertical="center" wrapText="1"/>
    </xf>
    <xf numFmtId="185" fontId="0" fillId="0" borderId="4" xfId="0" applyNumberFormat="1" applyBorder="1">
      <alignment vertical="center"/>
    </xf>
    <xf numFmtId="185" fontId="0" fillId="0" borderId="0" xfId="0" applyNumberFormat="1">
      <alignment vertical="center"/>
    </xf>
    <xf numFmtId="185" fontId="35" fillId="22" borderId="4" xfId="1" applyNumberFormat="1" applyFill="1" applyBorder="1" applyAlignment="1">
      <alignment vertical="center" wrapText="1"/>
    </xf>
    <xf numFmtId="185" fontId="0" fillId="23" borderId="4" xfId="0" applyNumberFormat="1" applyFill="1" applyBorder="1">
      <alignment vertical="center"/>
    </xf>
    <xf numFmtId="185" fontId="0" fillId="0" borderId="4" xfId="0" applyNumberFormat="1" applyBorder="1" applyAlignment="1"/>
    <xf numFmtId="49" fontId="0" fillId="0" borderId="4" xfId="0" applyNumberFormat="1" applyBorder="1" applyAlignment="1"/>
    <xf numFmtId="178" fontId="2" fillId="0" borderId="0" xfId="0" applyNumberFormat="1" applyFont="1">
      <alignment vertical="center"/>
    </xf>
    <xf numFmtId="3" fontId="2" fillId="0" borderId="0" xfId="0" applyNumberFormat="1" applyFont="1">
      <alignment vertical="center"/>
    </xf>
    <xf numFmtId="49" fontId="3" fillId="0" borderId="0" xfId="0" applyNumberFormat="1" applyFont="1">
      <alignment vertical="center"/>
    </xf>
    <xf numFmtId="0" fontId="35" fillId="19" borderId="89" xfId="1" applyFill="1" applyBorder="1" applyAlignment="1">
      <alignment vertical="center" wrapText="1"/>
    </xf>
    <xf numFmtId="0" fontId="35" fillId="16" borderId="11" xfId="1" applyFill="1" applyBorder="1" applyAlignment="1">
      <alignment horizontal="center" vertical="center" wrapText="1"/>
    </xf>
    <xf numFmtId="0" fontId="35" fillId="16" borderId="4" xfId="1" applyFill="1" applyBorder="1" applyAlignment="1">
      <alignment horizontal="center" vertical="center" wrapText="1"/>
    </xf>
    <xf numFmtId="178" fontId="35" fillId="16" borderId="4" xfId="1" applyNumberFormat="1" applyFill="1" applyBorder="1" applyAlignment="1">
      <alignment horizontal="center" vertical="center" wrapText="1"/>
    </xf>
    <xf numFmtId="178" fontId="35" fillId="24" borderId="4" xfId="1" applyNumberFormat="1" applyFill="1" applyBorder="1" applyAlignment="1">
      <alignment horizontal="center" vertical="center" wrapText="1"/>
    </xf>
    <xf numFmtId="178" fontId="35" fillId="25" borderId="4" xfId="1" applyNumberFormat="1" applyFill="1" applyBorder="1" applyAlignment="1">
      <alignment horizontal="center" vertical="center" wrapText="1"/>
    </xf>
    <xf numFmtId="0" fontId="35" fillId="24" borderId="4" xfId="1" applyFill="1" applyBorder="1" applyAlignment="1">
      <alignment horizontal="center" vertical="center" wrapText="1"/>
    </xf>
    <xf numFmtId="0" fontId="35" fillId="0" borderId="4" xfId="1" applyBorder="1" applyAlignment="1">
      <alignment horizontal="center" vertical="center" wrapText="1"/>
    </xf>
    <xf numFmtId="0" fontId="72" fillId="17" borderId="4" xfId="1" applyFont="1" applyFill="1" applyBorder="1" applyAlignment="1">
      <alignment horizontal="center" vertical="center" wrapText="1"/>
    </xf>
    <xf numFmtId="0" fontId="72" fillId="26" borderId="4" xfId="1" applyFont="1" applyFill="1" applyBorder="1" applyAlignment="1">
      <alignment horizontal="center" vertical="center" wrapText="1"/>
    </xf>
    <xf numFmtId="0" fontId="6" fillId="27" borderId="4" xfId="1" applyFont="1" applyFill="1" applyBorder="1" applyAlignment="1">
      <alignment vertical="center" wrapText="1"/>
    </xf>
    <xf numFmtId="0" fontId="6" fillId="26" borderId="4" xfId="1" applyFont="1" applyFill="1" applyBorder="1" applyAlignment="1">
      <alignment vertical="center" wrapText="1"/>
    </xf>
    <xf numFmtId="38" fontId="6" fillId="11" borderId="89" xfId="3" applyFont="1" applyFill="1" applyBorder="1" applyAlignment="1">
      <alignment horizontal="left" vertical="center" wrapText="1"/>
    </xf>
    <xf numFmtId="0" fontId="55" fillId="0" borderId="0" xfId="1" applyFont="1" applyAlignment="1">
      <alignment horizontal="center" vertical="center" wrapText="1"/>
    </xf>
    <xf numFmtId="1" fontId="6" fillId="0" borderId="0" xfId="2" applyNumberFormat="1" applyFont="1" applyFill="1" applyBorder="1" applyAlignment="1">
      <alignment vertical="center" wrapText="1"/>
    </xf>
    <xf numFmtId="186" fontId="6" fillId="0" borderId="0" xfId="2" applyNumberFormat="1" applyFont="1" applyFill="1" applyBorder="1" applyAlignment="1">
      <alignment vertical="center" wrapText="1"/>
    </xf>
    <xf numFmtId="187" fontId="55" fillId="0" borderId="0" xfId="1" applyNumberFormat="1" applyFont="1" applyAlignment="1">
      <alignment vertical="center" wrapText="1"/>
    </xf>
    <xf numFmtId="0" fontId="55" fillId="0" borderId="0" xfId="1" applyFont="1" applyAlignment="1">
      <alignment vertical="center" wrapText="1"/>
    </xf>
    <xf numFmtId="38" fontId="55" fillId="0" borderId="0" xfId="3" applyFont="1" applyFill="1" applyBorder="1" applyAlignment="1">
      <alignment vertical="center" wrapText="1"/>
    </xf>
    <xf numFmtId="0" fontId="72" fillId="17" borderId="4" xfId="1" applyFont="1" applyFill="1" applyBorder="1" applyAlignment="1">
      <alignment vertical="center" wrapText="1"/>
    </xf>
    <xf numFmtId="0" fontId="72" fillId="17" borderId="11" xfId="1" applyFont="1" applyFill="1" applyBorder="1" applyAlignment="1">
      <alignment vertical="center" wrapText="1"/>
    </xf>
    <xf numFmtId="0" fontId="6" fillId="26" borderId="4" xfId="1" applyFont="1" applyFill="1" applyBorder="1" applyAlignment="1">
      <alignment horizontal="center" vertical="center" wrapText="1"/>
    </xf>
    <xf numFmtId="0" fontId="30" fillId="0" borderId="12" xfId="0" applyFont="1" applyBorder="1" applyProtection="1">
      <alignment vertical="center"/>
      <protection locked="0"/>
    </xf>
    <xf numFmtId="0" fontId="137" fillId="0" borderId="2" xfId="0" applyFont="1" applyBorder="1">
      <alignment vertical="center"/>
    </xf>
    <xf numFmtId="0" fontId="138" fillId="0" borderId="0" xfId="0" applyFont="1">
      <alignment vertical="center"/>
    </xf>
    <xf numFmtId="0" fontId="137" fillId="0" borderId="0" xfId="0" applyFont="1">
      <alignment vertical="center"/>
    </xf>
    <xf numFmtId="0" fontId="139" fillId="9" borderId="0" xfId="0" applyFont="1" applyFill="1">
      <alignment vertical="center"/>
    </xf>
    <xf numFmtId="0" fontId="140" fillId="9" borderId="0" xfId="0" applyFont="1" applyFill="1">
      <alignment vertical="center"/>
    </xf>
    <xf numFmtId="0" fontId="14" fillId="0" borderId="16" xfId="0" applyFont="1" applyBorder="1">
      <alignment vertical="center"/>
    </xf>
    <xf numFmtId="0" fontId="14" fillId="0" borderId="11" xfId="0" applyFont="1" applyBorder="1">
      <alignment vertical="center"/>
    </xf>
    <xf numFmtId="0" fontId="33" fillId="0" borderId="0" xfId="0" applyFont="1" applyAlignment="1">
      <alignment horizontal="center" vertical="center"/>
    </xf>
    <xf numFmtId="0" fontId="53" fillId="0" borderId="0" xfId="0" applyFont="1" applyAlignment="1"/>
    <xf numFmtId="49" fontId="45" fillId="11" borderId="4" xfId="0" quotePrefix="1" applyNumberFormat="1" applyFont="1" applyFill="1" applyBorder="1" applyAlignment="1">
      <alignment horizontal="right" vertical="center"/>
    </xf>
    <xf numFmtId="49" fontId="45" fillId="11" borderId="4" xfId="0" applyNumberFormat="1" applyFont="1" applyFill="1" applyBorder="1" applyAlignment="1">
      <alignment horizontal="right" vertical="center"/>
    </xf>
    <xf numFmtId="0" fontId="53" fillId="0" borderId="0" xfId="0" applyFont="1" applyAlignment="1">
      <alignment horizontal="center" vertical="center"/>
    </xf>
    <xf numFmtId="0" fontId="141" fillId="7" borderId="0" xfId="1" applyFont="1" applyFill="1" applyAlignment="1">
      <alignment vertical="center" wrapText="1"/>
    </xf>
    <xf numFmtId="0" fontId="142" fillId="20" borderId="91" xfId="1" applyFont="1" applyFill="1" applyBorder="1" applyAlignment="1">
      <alignment horizontal="center" vertical="center" wrapText="1"/>
    </xf>
    <xf numFmtId="0" fontId="46" fillId="0" borderId="0" xfId="0" applyFont="1">
      <alignment vertical="center"/>
    </xf>
    <xf numFmtId="176" fontId="0" fillId="0" borderId="0" xfId="0" applyNumberFormat="1">
      <alignment vertical="center"/>
    </xf>
    <xf numFmtId="176" fontId="2" fillId="0" borderId="0" xfId="0" applyNumberFormat="1" applyFont="1" applyAlignment="1">
      <alignment vertical="center" wrapText="1"/>
    </xf>
    <xf numFmtId="0" fontId="6" fillId="0" borderId="3" xfId="0" applyFont="1" applyBorder="1">
      <alignment vertical="center"/>
    </xf>
    <xf numFmtId="0" fontId="19" fillId="0" borderId="0" xfId="0" applyFont="1" applyAlignment="1"/>
    <xf numFmtId="0" fontId="20" fillId="0" borderId="0" xfId="0" applyFont="1" applyAlignment="1">
      <alignment horizontal="left" shrinkToFit="1"/>
    </xf>
    <xf numFmtId="0" fontId="144" fillId="0" borderId="0" xfId="0" applyFont="1" applyAlignment="1">
      <alignment horizontal="center" vertical="center"/>
    </xf>
    <xf numFmtId="0" fontId="33" fillId="0" borderId="0" xfId="0" applyFont="1" applyAlignment="1">
      <alignment vertical="top"/>
    </xf>
    <xf numFmtId="176" fontId="3" fillId="0" borderId="12" xfId="0" applyNumberFormat="1" applyFont="1" applyBorder="1" applyAlignment="1">
      <alignment horizontal="right" vertical="center"/>
    </xf>
    <xf numFmtId="176" fontId="3" fillId="0" borderId="15" xfId="0" applyNumberFormat="1" applyFont="1" applyBorder="1" applyAlignment="1">
      <alignment horizontal="right" vertical="center"/>
    </xf>
    <xf numFmtId="0" fontId="111" fillId="0" borderId="0" xfId="0" applyFont="1">
      <alignment vertical="center"/>
    </xf>
    <xf numFmtId="38" fontId="85" fillId="26" borderId="89" xfId="3" applyFont="1" applyFill="1" applyBorder="1" applyAlignment="1">
      <alignment horizontal="center" vertical="center" wrapText="1"/>
    </xf>
    <xf numFmtId="0" fontId="6" fillId="26" borderId="0" xfId="0" applyFont="1" applyFill="1" applyAlignment="1">
      <alignment horizontal="left" vertical="center" wrapText="1"/>
    </xf>
    <xf numFmtId="0" fontId="145" fillId="0" borderId="0" xfId="0" applyFont="1">
      <alignment vertical="center"/>
    </xf>
    <xf numFmtId="0" fontId="146" fillId="0" borderId="0" xfId="0" applyFont="1">
      <alignment vertical="center"/>
    </xf>
    <xf numFmtId="0" fontId="145" fillId="3" borderId="0" xfId="0" applyFont="1" applyFill="1">
      <alignment vertical="center"/>
    </xf>
    <xf numFmtId="0" fontId="147" fillId="0" borderId="0" xfId="0" applyFont="1">
      <alignment vertical="center"/>
    </xf>
    <xf numFmtId="0" fontId="146" fillId="0" borderId="0" xfId="0" applyFont="1" applyAlignment="1">
      <alignment horizontal="center" vertical="center"/>
    </xf>
    <xf numFmtId="0" fontId="145" fillId="0" borderId="0" xfId="0" applyFont="1" applyAlignment="1">
      <alignment horizontal="center" vertical="center"/>
    </xf>
    <xf numFmtId="0" fontId="149" fillId="0" borderId="0" xfId="0" applyFont="1">
      <alignment vertical="center"/>
    </xf>
    <xf numFmtId="0" fontId="148" fillId="0" borderId="0" xfId="0" applyFont="1">
      <alignment vertical="center"/>
    </xf>
    <xf numFmtId="0" fontId="150" fillId="2" borderId="4" xfId="0" applyFont="1" applyFill="1" applyBorder="1" applyAlignment="1" applyProtection="1">
      <alignment horizontal="center" vertical="center"/>
      <protection locked="0"/>
    </xf>
    <xf numFmtId="0" fontId="151" fillId="0" borderId="0" xfId="0" applyFont="1">
      <alignment vertical="center"/>
    </xf>
    <xf numFmtId="176" fontId="97" fillId="0" borderId="0" xfId="0" applyNumberFormat="1" applyFont="1" applyAlignment="1">
      <alignment horizontal="right" vertical="center"/>
    </xf>
    <xf numFmtId="176" fontId="97" fillId="0" borderId="0" xfId="0" applyNumberFormat="1" applyFont="1">
      <alignment vertical="center"/>
    </xf>
    <xf numFmtId="0" fontId="100" fillId="0" borderId="0" xfId="0" applyFont="1" applyAlignment="1"/>
    <xf numFmtId="0" fontId="99" fillId="0" borderId="0" xfId="0" applyFont="1" applyAlignment="1"/>
    <xf numFmtId="0" fontId="89" fillId="0" borderId="0" xfId="1" applyFont="1" applyAlignment="1" applyProtection="1">
      <alignment vertical="center"/>
      <protection locked="0"/>
    </xf>
    <xf numFmtId="38" fontId="89" fillId="0" borderId="0" xfId="2" applyFont="1" applyFill="1" applyBorder="1" applyAlignment="1" applyProtection="1">
      <alignment vertical="center"/>
      <protection locked="0"/>
    </xf>
    <xf numFmtId="0" fontId="45" fillId="11" borderId="4" xfId="0" applyFont="1" applyFill="1" applyBorder="1">
      <alignment vertical="center"/>
    </xf>
    <xf numFmtId="0" fontId="53" fillId="11" borderId="0" xfId="0" applyFont="1" applyFill="1">
      <alignment vertical="center"/>
    </xf>
    <xf numFmtId="0" fontId="55" fillId="0" borderId="16" xfId="0" applyFont="1" applyBorder="1">
      <alignment vertical="center"/>
    </xf>
    <xf numFmtId="0" fontId="10" fillId="9" borderId="5" xfId="0" applyFont="1" applyFill="1" applyBorder="1" applyAlignment="1" applyProtection="1">
      <alignment horizontal="center" vertical="center"/>
      <protection locked="0"/>
    </xf>
    <xf numFmtId="0" fontId="2" fillId="21" borderId="89" xfId="1" applyFont="1" applyFill="1" applyBorder="1" applyAlignment="1">
      <alignment horizontal="center" vertical="center" wrapText="1"/>
    </xf>
    <xf numFmtId="0" fontId="154" fillId="0" borderId="0" xfId="0" applyFont="1">
      <alignment vertical="center"/>
    </xf>
    <xf numFmtId="0" fontId="122" fillId="0" borderId="0" xfId="0" applyFont="1">
      <alignment vertical="center"/>
    </xf>
    <xf numFmtId="0" fontId="155" fillId="0" borderId="0" xfId="0" applyFont="1">
      <alignment vertical="center"/>
    </xf>
    <xf numFmtId="0" fontId="155" fillId="0" borderId="0" xfId="0" applyFont="1" applyAlignment="1"/>
    <xf numFmtId="176" fontId="155" fillId="0" borderId="0" xfId="0" applyNumberFormat="1" applyFont="1" applyAlignment="1">
      <alignment horizontal="right"/>
    </xf>
    <xf numFmtId="0" fontId="156" fillId="0" borderId="0" xfId="0" applyFont="1">
      <alignment vertical="center"/>
    </xf>
    <xf numFmtId="0" fontId="157" fillId="0" borderId="0" xfId="1" applyFont="1" applyAlignment="1">
      <alignment vertical="center"/>
    </xf>
    <xf numFmtId="0" fontId="158" fillId="0" borderId="0" xfId="0" applyFont="1">
      <alignment vertical="center"/>
    </xf>
    <xf numFmtId="38" fontId="158" fillId="0" borderId="0" xfId="3" applyFont="1" applyFill="1" applyBorder="1" applyProtection="1">
      <alignment vertical="center"/>
    </xf>
    <xf numFmtId="0" fontId="99" fillId="0" borderId="0" xfId="0" applyFont="1" applyAlignment="1">
      <alignment horizontal="right" vertical="center"/>
    </xf>
    <xf numFmtId="38" fontId="99" fillId="0" borderId="0" xfId="3" applyFont="1" applyFill="1" applyProtection="1">
      <alignment vertical="center"/>
    </xf>
    <xf numFmtId="0" fontId="145" fillId="0" borderId="4" xfId="0" applyFont="1" applyBorder="1" applyAlignment="1">
      <alignment horizontal="center" vertical="center"/>
    </xf>
    <xf numFmtId="176" fontId="99" fillId="0" borderId="4" xfId="0" applyNumberFormat="1" applyFont="1" applyBorder="1" applyAlignment="1">
      <alignment horizontal="center" vertical="center"/>
    </xf>
    <xf numFmtId="176" fontId="97" fillId="0" borderId="4" xfId="0" applyNumberFormat="1" applyFont="1" applyBorder="1" applyAlignment="1">
      <alignment horizontal="right" vertical="center"/>
    </xf>
    <xf numFmtId="0" fontId="97" fillId="0" borderId="4" xfId="0" applyFont="1" applyBorder="1" applyAlignment="1">
      <alignment horizontal="center" vertical="center"/>
    </xf>
    <xf numFmtId="0" fontId="158" fillId="0" borderId="0" xfId="0" applyFont="1" applyAlignment="1">
      <alignment horizontal="center" vertical="center"/>
    </xf>
    <xf numFmtId="176" fontId="100" fillId="0" borderId="4" xfId="0" applyNumberFormat="1" applyFont="1" applyBorder="1">
      <alignment vertical="center"/>
    </xf>
    <xf numFmtId="176" fontId="100" fillId="0" borderId="0" xfId="0" applyNumberFormat="1" applyFont="1">
      <alignment vertical="center"/>
    </xf>
    <xf numFmtId="176" fontId="97" fillId="0" borderId="4" xfId="0" applyNumberFormat="1" applyFont="1" applyBorder="1">
      <alignment vertical="center"/>
    </xf>
    <xf numFmtId="176" fontId="104" fillId="0" borderId="4" xfId="0" applyNumberFormat="1" applyFont="1" applyBorder="1">
      <alignment vertical="center"/>
    </xf>
    <xf numFmtId="176" fontId="104" fillId="0" borderId="0" xfId="0" applyNumberFormat="1" applyFont="1">
      <alignment vertical="center"/>
    </xf>
    <xf numFmtId="0" fontId="159" fillId="0" borderId="4" xfId="0" applyFont="1" applyBorder="1" applyAlignment="1">
      <alignment horizontal="center" vertical="center"/>
    </xf>
    <xf numFmtId="0" fontId="160" fillId="0" borderId="4" xfId="0" applyFont="1" applyBorder="1" applyAlignment="1">
      <alignment horizontal="center" vertical="center"/>
    </xf>
    <xf numFmtId="0" fontId="103" fillId="0" borderId="0" xfId="0" applyFont="1" applyAlignment="1"/>
    <xf numFmtId="176" fontId="158" fillId="0" borderId="0" xfId="0" applyNumberFormat="1" applyFont="1" applyAlignment="1">
      <alignment horizontal="right"/>
    </xf>
    <xf numFmtId="0" fontId="161" fillId="0" borderId="4" xfId="0" applyFont="1" applyBorder="1">
      <alignment vertical="center"/>
    </xf>
    <xf numFmtId="176" fontId="161" fillId="0" borderId="4" xfId="0" applyNumberFormat="1" applyFont="1" applyBorder="1">
      <alignment vertical="center"/>
    </xf>
    <xf numFmtId="176" fontId="99" fillId="0" borderId="0" xfId="0" applyNumberFormat="1" applyFont="1" applyAlignment="1">
      <alignment horizontal="center" vertical="center"/>
    </xf>
    <xf numFmtId="176" fontId="100" fillId="0" borderId="0" xfId="0" applyNumberFormat="1" applyFont="1" applyAlignment="1">
      <alignment horizontal="right"/>
    </xf>
    <xf numFmtId="0" fontId="104" fillId="0" borderId="0" xfId="0" applyFont="1" applyAlignment="1"/>
    <xf numFmtId="0" fontId="161" fillId="0" borderId="0" xfId="0" applyFont="1">
      <alignment vertical="center"/>
    </xf>
    <xf numFmtId="0" fontId="98" fillId="0" borderId="0" xfId="0" applyFont="1" applyAlignment="1"/>
    <xf numFmtId="176" fontId="99" fillId="0" borderId="0" xfId="0" applyNumberFormat="1" applyFont="1" applyAlignment="1">
      <alignment horizontal="right"/>
    </xf>
    <xf numFmtId="0" fontId="2" fillId="0" borderId="0" xfId="0" applyFont="1">
      <alignment vertical="center"/>
    </xf>
    <xf numFmtId="178" fontId="35" fillId="2" borderId="4" xfId="1" applyNumberFormat="1" applyFill="1" applyBorder="1" applyAlignment="1">
      <alignment horizontal="center" vertical="center" wrapText="1"/>
    </xf>
    <xf numFmtId="0" fontId="9" fillId="0" borderId="0" xfId="0" quotePrefix="1" applyFont="1">
      <alignment vertical="center"/>
    </xf>
    <xf numFmtId="0" fontId="0" fillId="0" borderId="2" xfId="0" applyBorder="1" applyAlignment="1">
      <alignment vertical="center" wrapText="1"/>
    </xf>
    <xf numFmtId="0" fontId="0" fillId="0" borderId="9" xfId="0" applyBorder="1" applyAlignment="1">
      <alignment vertical="center" wrapText="1"/>
    </xf>
    <xf numFmtId="0" fontId="5" fillId="0" borderId="2" xfId="0" applyFont="1" applyBorder="1" applyAlignment="1" applyProtection="1">
      <alignment vertical="center" wrapText="1"/>
      <protection locked="0"/>
    </xf>
    <xf numFmtId="0" fontId="2" fillId="0" borderId="8" xfId="0" applyFont="1" applyBorder="1" applyAlignment="1">
      <alignment vertical="center" wrapText="1"/>
    </xf>
    <xf numFmtId="0" fontId="12" fillId="0" borderId="3" xfId="0" applyFont="1" applyBorder="1" applyAlignment="1" applyProtection="1">
      <alignment vertical="center" wrapText="1"/>
      <protection locked="0"/>
    </xf>
    <xf numFmtId="0" fontId="12" fillId="0" borderId="9" xfId="0" applyFont="1" applyBorder="1" applyAlignment="1" applyProtection="1">
      <alignment vertical="center" wrapText="1"/>
      <protection locked="0"/>
    </xf>
    <xf numFmtId="0" fontId="2" fillId="0" borderId="2" xfId="0" applyFont="1" applyBorder="1">
      <alignment vertical="center"/>
    </xf>
    <xf numFmtId="0" fontId="0" fillId="0" borderId="2" xfId="0" applyBorder="1">
      <alignment vertical="center"/>
    </xf>
    <xf numFmtId="0" fontId="2" fillId="0" borderId="5" xfId="0" applyFont="1" applyBorder="1" applyAlignment="1">
      <alignment vertical="center" wrapText="1"/>
    </xf>
    <xf numFmtId="0" fontId="2" fillId="0" borderId="14" xfId="0" applyFont="1" applyBorder="1" applyAlignment="1">
      <alignment horizontal="right" vertical="center"/>
    </xf>
    <xf numFmtId="0" fontId="5" fillId="0" borderId="14" xfId="0" applyFont="1" applyBorder="1" applyAlignment="1" applyProtection="1">
      <alignment vertical="center" wrapText="1"/>
      <protection locked="0"/>
    </xf>
    <xf numFmtId="0" fontId="0" fillId="0" borderId="14" xfId="0" applyBorder="1">
      <alignment vertical="center"/>
    </xf>
    <xf numFmtId="0" fontId="9" fillId="0" borderId="0" xfId="0" applyFont="1" applyAlignment="1">
      <alignment vertical="center"/>
    </xf>
    <xf numFmtId="0" fontId="2" fillId="0" borderId="0" xfId="0" applyFont="1">
      <alignment vertical="center"/>
    </xf>
    <xf numFmtId="0" fontId="2" fillId="0" borderId="5" xfId="0" applyFont="1" applyBorder="1">
      <alignment vertical="center"/>
    </xf>
    <xf numFmtId="0" fontId="2" fillId="0" borderId="2" xfId="0" applyFont="1" applyBorder="1">
      <alignment vertical="center"/>
    </xf>
    <xf numFmtId="0" fontId="12" fillId="0" borderId="11" xfId="0" applyFont="1" applyBorder="1" applyAlignment="1">
      <alignment horizontal="center" vertical="center"/>
    </xf>
    <xf numFmtId="0" fontId="6" fillId="2" borderId="4" xfId="0" applyFont="1" applyFill="1" applyBorder="1" applyAlignment="1">
      <alignment horizontal="center" vertical="center" wrapText="1"/>
    </xf>
    <xf numFmtId="0" fontId="2" fillId="0" borderId="0" xfId="0" applyFont="1" applyBorder="1">
      <alignment vertical="center"/>
    </xf>
    <xf numFmtId="0" fontId="12" fillId="0" borderId="7" xfId="0" applyFont="1" applyBorder="1">
      <alignment vertical="center"/>
    </xf>
    <xf numFmtId="0" fontId="3" fillId="0" borderId="0" xfId="0" applyFont="1" applyAlignment="1"/>
    <xf numFmtId="0" fontId="5" fillId="0" borderId="0" xfId="0" applyFont="1" applyBorder="1">
      <alignment vertical="center"/>
    </xf>
    <xf numFmtId="0" fontId="5" fillId="0" borderId="0" xfId="0" applyFont="1" applyBorder="1" applyProtection="1">
      <alignment vertical="center"/>
      <protection locked="0"/>
    </xf>
    <xf numFmtId="0" fontId="2" fillId="0" borderId="0" xfId="0" applyFont="1" applyBorder="1" applyAlignment="1">
      <alignment horizontal="right" vertical="center"/>
    </xf>
    <xf numFmtId="0" fontId="53" fillId="0" borderId="0" xfId="0" applyFont="1" applyBorder="1">
      <alignment vertical="center"/>
    </xf>
    <xf numFmtId="0" fontId="3" fillId="0" borderId="0" xfId="0" applyFont="1" applyBorder="1">
      <alignment vertical="center"/>
    </xf>
    <xf numFmtId="0" fontId="7" fillId="0" borderId="0" xfId="0" applyFont="1" applyBorder="1">
      <alignment vertical="center"/>
    </xf>
    <xf numFmtId="0" fontId="2" fillId="0" borderId="11" xfId="0" applyFont="1" applyBorder="1" applyProtection="1">
      <alignment vertical="center"/>
      <protection locked="0"/>
    </xf>
    <xf numFmtId="0" fontId="2" fillId="0" borderId="2" xfId="0" applyFont="1" applyBorder="1" applyAlignment="1">
      <alignment vertical="center"/>
    </xf>
    <xf numFmtId="0" fontId="2" fillId="0" borderId="9" xfId="0" applyFont="1" applyBorder="1" applyAlignment="1">
      <alignment vertical="center"/>
    </xf>
    <xf numFmtId="0" fontId="21" fillId="0" borderId="8" xfId="0" applyFont="1" applyBorder="1">
      <alignment vertical="center"/>
    </xf>
    <xf numFmtId="0" fontId="21" fillId="0" borderId="10" xfId="0" applyFont="1" applyBorder="1">
      <alignment vertical="center"/>
    </xf>
    <xf numFmtId="0" fontId="2" fillId="0" borderId="16" xfId="0" applyFont="1" applyBorder="1" applyAlignment="1">
      <alignment vertical="center"/>
    </xf>
    <xf numFmtId="0" fontId="2" fillId="0" borderId="11" xfId="0" applyFont="1" applyBorder="1" applyAlignment="1">
      <alignment vertical="center"/>
    </xf>
    <xf numFmtId="0" fontId="10" fillId="9" borderId="4" xfId="0" applyFont="1" applyFill="1" applyBorder="1" applyAlignment="1" applyProtection="1">
      <alignment horizontal="center" vertical="center"/>
      <protection locked="0"/>
    </xf>
    <xf numFmtId="0" fontId="9" fillId="0" borderId="0" xfId="0" quotePrefix="1" applyFont="1">
      <alignment vertical="center"/>
    </xf>
    <xf numFmtId="0" fontId="2" fillId="0" borderId="0" xfId="0" applyFont="1">
      <alignment vertical="center"/>
    </xf>
    <xf numFmtId="0" fontId="0" fillId="0" borderId="16" xfId="0" applyBorder="1">
      <alignment vertical="center"/>
    </xf>
    <xf numFmtId="0" fontId="0" fillId="0" borderId="11" xfId="0" applyBorder="1">
      <alignment vertical="center"/>
    </xf>
    <xf numFmtId="0" fontId="5" fillId="0" borderId="16" xfId="0" applyFont="1" applyBorder="1" applyAlignment="1">
      <alignment vertical="center"/>
    </xf>
    <xf numFmtId="0" fontId="0" fillId="0" borderId="0" xfId="0">
      <alignment vertical="center"/>
    </xf>
    <xf numFmtId="185" fontId="12" fillId="0" borderId="4" xfId="0" applyNumberFormat="1" applyFont="1" applyBorder="1">
      <alignment vertical="center"/>
    </xf>
    <xf numFmtId="185" fontId="163" fillId="0" borderId="4" xfId="0" applyNumberFormat="1" applyFont="1" applyBorder="1">
      <alignment vertical="center"/>
    </xf>
    <xf numFmtId="176" fontId="100" fillId="0" borderId="4" xfId="0" applyNumberFormat="1" applyFont="1" applyBorder="1" applyAlignment="1">
      <alignment horizontal="right" vertical="center"/>
    </xf>
    <xf numFmtId="178" fontId="55" fillId="0" borderId="0" xfId="1" applyNumberFormat="1" applyFont="1" applyAlignment="1">
      <alignment vertical="center" wrapText="1"/>
    </xf>
    <xf numFmtId="0" fontId="2" fillId="0" borderId="4" xfId="0" applyFont="1" applyBorder="1" applyAlignment="1">
      <alignment horizontal="center" vertical="center"/>
    </xf>
    <xf numFmtId="0" fontId="2" fillId="0" borderId="4" xfId="0" applyFont="1" applyFill="1" applyBorder="1" applyAlignment="1">
      <alignment horizontal="center" vertical="center"/>
    </xf>
    <xf numFmtId="0" fontId="2" fillId="0" borderId="0" xfId="0" applyFont="1" applyBorder="1" applyProtection="1">
      <alignment vertical="center"/>
      <protection locked="0"/>
    </xf>
    <xf numFmtId="0" fontId="2" fillId="0" borderId="0" xfId="0" applyFont="1" applyFill="1" applyBorder="1">
      <alignment vertical="center"/>
    </xf>
    <xf numFmtId="0" fontId="164" fillId="0" borderId="14" xfId="0" applyFont="1" applyBorder="1" applyAlignment="1" applyProtection="1">
      <alignment vertical="center" wrapText="1"/>
      <protection locked="0"/>
    </xf>
    <xf numFmtId="0" fontId="164" fillId="0" borderId="2" xfId="0" applyFont="1" applyBorder="1" applyAlignment="1" applyProtection="1">
      <alignment vertical="center" wrapText="1"/>
      <protection locked="0"/>
    </xf>
    <xf numFmtId="0" fontId="2" fillId="0" borderId="0" xfId="0" applyFont="1">
      <alignment vertical="center"/>
    </xf>
    <xf numFmtId="0" fontId="5" fillId="0" borderId="11" xfId="0" applyFont="1" applyBorder="1" applyAlignment="1">
      <alignment vertical="center" wrapText="1"/>
    </xf>
    <xf numFmtId="0" fontId="30" fillId="0" borderId="11" xfId="0" applyFont="1" applyBorder="1" applyAlignment="1">
      <alignment vertical="center"/>
    </xf>
    <xf numFmtId="0" fontId="7" fillId="0" borderId="11" xfId="0" applyFont="1" applyBorder="1" applyAlignment="1">
      <alignment vertical="center"/>
    </xf>
    <xf numFmtId="0" fontId="12" fillId="0" borderId="11" xfId="0" applyFont="1" applyBorder="1" applyAlignment="1">
      <alignment horizontal="center" vertical="center"/>
    </xf>
    <xf numFmtId="38" fontId="166" fillId="0" borderId="0" xfId="2" applyFont="1" applyFill="1" applyBorder="1" applyAlignment="1" applyProtection="1">
      <alignment vertical="center"/>
    </xf>
    <xf numFmtId="0" fontId="25" fillId="0" borderId="16" xfId="0" applyFont="1" applyBorder="1" applyAlignment="1">
      <alignment vertical="center" wrapText="1"/>
    </xf>
    <xf numFmtId="176" fontId="25" fillId="0" borderId="0" xfId="0" applyNumberFormat="1" applyFont="1" applyAlignment="1">
      <alignment vertical="center"/>
    </xf>
    <xf numFmtId="0" fontId="27" fillId="0" borderId="0" xfId="0" applyFont="1" applyAlignment="1">
      <alignment horizontal="left" vertical="center"/>
    </xf>
    <xf numFmtId="0" fontId="2" fillId="0" borderId="0" xfId="0" applyFont="1">
      <alignment vertical="center"/>
    </xf>
    <xf numFmtId="0" fontId="2" fillId="0" borderId="2" xfId="0" applyFont="1" applyBorder="1">
      <alignment vertical="center"/>
    </xf>
    <xf numFmtId="0" fontId="0" fillId="0" borderId="16" xfId="0" applyBorder="1">
      <alignment vertical="center"/>
    </xf>
    <xf numFmtId="0" fontId="0" fillId="0" borderId="11" xfId="0" applyBorder="1">
      <alignment vertical="center"/>
    </xf>
    <xf numFmtId="0" fontId="25" fillId="0" borderId="16" xfId="0" applyFont="1" applyBorder="1" applyAlignment="1">
      <alignment vertical="center" wrapText="1"/>
    </xf>
    <xf numFmtId="0" fontId="12" fillId="0" borderId="11" xfId="0" applyFont="1" applyBorder="1" applyAlignment="1">
      <alignment horizontal="center" vertical="center"/>
    </xf>
    <xf numFmtId="0" fontId="20" fillId="0" borderId="4" xfId="0" applyFont="1" applyBorder="1" applyAlignment="1">
      <alignment horizontal="center" vertical="center"/>
    </xf>
    <xf numFmtId="0" fontId="21" fillId="0" borderId="4" xfId="0" applyFont="1" applyBorder="1" applyAlignment="1">
      <alignment horizontal="center" vertical="center"/>
    </xf>
    <xf numFmtId="0" fontId="20" fillId="0" borderId="10" xfId="0" applyFont="1" applyBorder="1" applyAlignment="1">
      <alignment vertical="center"/>
    </xf>
    <xf numFmtId="0" fontId="20" fillId="0" borderId="16" xfId="0" applyFont="1" applyBorder="1" applyAlignment="1">
      <alignment vertical="center"/>
    </xf>
    <xf numFmtId="0" fontId="168" fillId="0" borderId="2" xfId="0" applyFont="1" applyBorder="1">
      <alignment vertical="center"/>
    </xf>
    <xf numFmtId="0" fontId="168" fillId="0" borderId="9" xfId="0" applyFont="1" applyBorder="1">
      <alignment vertical="center"/>
    </xf>
    <xf numFmtId="0" fontId="168" fillId="0" borderId="16" xfId="0" applyFont="1" applyBorder="1">
      <alignment vertical="center"/>
    </xf>
    <xf numFmtId="0" fontId="168" fillId="0" borderId="11" xfId="0" applyFont="1" applyBorder="1">
      <alignment vertical="center"/>
    </xf>
    <xf numFmtId="0" fontId="25" fillId="0" borderId="10" xfId="0" applyFont="1" applyBorder="1" applyAlignment="1">
      <alignment vertical="center"/>
    </xf>
    <xf numFmtId="0" fontId="20" fillId="0" borderId="15" xfId="0" applyFont="1" applyBorder="1" applyAlignment="1">
      <alignment horizontal="left" vertical="center"/>
    </xf>
    <xf numFmtId="0" fontId="21" fillId="0" borderId="10" xfId="0" applyFont="1" applyBorder="1" applyAlignment="1">
      <alignment vertical="center"/>
    </xf>
    <xf numFmtId="0" fontId="21" fillId="0" borderId="16" xfId="0" applyFont="1" applyBorder="1" applyAlignment="1">
      <alignment vertical="center"/>
    </xf>
    <xf numFmtId="0" fontId="21" fillId="0" borderId="11" xfId="0" applyFont="1" applyBorder="1" applyAlignment="1">
      <alignment vertical="center"/>
    </xf>
    <xf numFmtId="0" fontId="25" fillId="0" borderId="16" xfId="0" applyFont="1" applyBorder="1" applyAlignment="1">
      <alignment vertical="center"/>
    </xf>
    <xf numFmtId="0" fontId="169" fillId="0" borderId="0" xfId="0" applyFont="1">
      <alignment vertical="center"/>
    </xf>
    <xf numFmtId="0" fontId="2" fillId="0" borderId="0" xfId="0" applyFont="1">
      <alignment vertical="center"/>
    </xf>
    <xf numFmtId="38" fontId="169" fillId="0" borderId="0" xfId="3" applyFont="1">
      <alignment vertical="center"/>
    </xf>
    <xf numFmtId="0" fontId="170" fillId="0" borderId="0" xfId="0" applyFont="1" applyAlignment="1">
      <alignment horizontal="right" vertical="center"/>
    </xf>
    <xf numFmtId="0" fontId="2"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6" fillId="0" borderId="0" xfId="0" applyFont="1" applyBorder="1" applyProtection="1">
      <alignment vertical="center"/>
      <protection locked="0"/>
    </xf>
    <xf numFmtId="0" fontId="2" fillId="0" borderId="10" xfId="0" applyFont="1" applyBorder="1" applyAlignment="1" applyProtection="1">
      <alignment horizontal="center" vertical="center"/>
      <protection locked="0"/>
    </xf>
    <xf numFmtId="0" fontId="45" fillId="0" borderId="0" xfId="0" applyFont="1" applyAlignment="1">
      <alignment horizontal="center" vertical="center"/>
    </xf>
    <xf numFmtId="38" fontId="169" fillId="0" borderId="4" xfId="3" applyFont="1" applyBorder="1">
      <alignment vertical="center"/>
    </xf>
    <xf numFmtId="0" fontId="99" fillId="0" borderId="0" xfId="0" applyFont="1" applyProtection="1">
      <alignment vertical="center"/>
      <protection locked="0"/>
    </xf>
    <xf numFmtId="0" fontId="98" fillId="0" borderId="0" xfId="0" applyFont="1" applyProtection="1">
      <alignment vertical="center"/>
      <protection locked="0"/>
    </xf>
    <xf numFmtId="0" fontId="171" fillId="0" borderId="16" xfId="0" applyFont="1" applyBorder="1" applyAlignment="1">
      <alignment vertical="center"/>
    </xf>
    <xf numFmtId="0" fontId="172" fillId="0" borderId="14" xfId="0" applyFont="1" applyBorder="1">
      <alignment vertical="center"/>
    </xf>
    <xf numFmtId="0" fontId="172" fillId="0" borderId="16" xfId="0" applyFont="1" applyBorder="1">
      <alignment vertical="center"/>
    </xf>
    <xf numFmtId="0" fontId="172" fillId="0" borderId="2" xfId="0" applyFont="1" applyBorder="1">
      <alignment vertical="center"/>
    </xf>
    <xf numFmtId="0" fontId="173" fillId="0" borderId="10" xfId="0" applyFont="1" applyBorder="1" applyAlignment="1">
      <alignment vertical="center" wrapText="1"/>
    </xf>
    <xf numFmtId="0" fontId="25" fillId="0" borderId="16" xfId="0" applyFont="1" applyBorder="1" applyAlignment="1">
      <alignment vertical="center" wrapText="1"/>
    </xf>
    <xf numFmtId="38" fontId="91" fillId="28" borderId="2" xfId="2" applyFont="1" applyFill="1" applyBorder="1" applyAlignment="1" applyProtection="1">
      <alignment horizontal="center" vertical="center"/>
      <protection locked="0"/>
    </xf>
    <xf numFmtId="38" fontId="31" fillId="0" borderId="13" xfId="2" applyNumberFormat="1" applyFont="1" applyFill="1" applyBorder="1" applyAlignment="1" applyProtection="1">
      <alignment vertical="center" shrinkToFit="1"/>
      <protection locked="0"/>
    </xf>
    <xf numFmtId="38" fontId="31" fillId="0" borderId="13" xfId="2" applyFont="1" applyFill="1" applyBorder="1" applyAlignment="1" applyProtection="1">
      <alignment vertical="center" shrinkToFit="1"/>
      <protection locked="0"/>
    </xf>
    <xf numFmtId="38" fontId="31" fillId="0" borderId="36" xfId="2" applyFont="1" applyFill="1" applyBorder="1" applyAlignment="1" applyProtection="1">
      <alignment vertical="center" shrinkToFit="1"/>
      <protection locked="0"/>
    </xf>
    <xf numFmtId="38" fontId="31" fillId="0" borderId="4" xfId="2" applyFont="1" applyFill="1" applyBorder="1" applyAlignment="1" applyProtection="1">
      <alignment vertical="center" shrinkToFit="1"/>
      <protection locked="0"/>
    </xf>
    <xf numFmtId="0" fontId="145" fillId="0" borderId="4" xfId="0" applyFont="1" applyBorder="1">
      <alignment vertical="center"/>
    </xf>
    <xf numFmtId="0" fontId="145" fillId="0" borderId="4" xfId="0" applyFont="1" applyFill="1" applyBorder="1">
      <alignment vertical="center"/>
    </xf>
    <xf numFmtId="5" fontId="91" fillId="29" borderId="2" xfId="2" applyNumberFormat="1" applyFont="1" applyFill="1" applyBorder="1" applyAlignment="1" applyProtection="1">
      <alignment horizontal="center" vertical="center"/>
      <protection locked="0"/>
    </xf>
    <xf numFmtId="0" fontId="6" fillId="14" borderId="0" xfId="0" applyFont="1" applyFill="1" applyAlignment="1">
      <alignment horizontal="left" vertical="center" wrapText="1"/>
    </xf>
    <xf numFmtId="3" fontId="6" fillId="14" borderId="0" xfId="0" applyNumberFormat="1" applyFont="1" applyFill="1" applyAlignment="1">
      <alignment horizontal="left" vertical="center" wrapText="1"/>
    </xf>
    <xf numFmtId="49" fontId="6" fillId="14" borderId="0" xfId="0" applyNumberFormat="1" applyFont="1" applyFill="1" applyAlignment="1">
      <alignment horizontal="left" vertical="center" wrapText="1"/>
    </xf>
    <xf numFmtId="10" fontId="6" fillId="14" borderId="0" xfId="0" applyNumberFormat="1" applyFont="1" applyFill="1" applyAlignment="1">
      <alignment horizontal="left" vertical="center" wrapText="1"/>
    </xf>
    <xf numFmtId="0" fontId="6" fillId="14" borderId="0" xfId="0" applyNumberFormat="1" applyFont="1" applyFill="1" applyAlignment="1">
      <alignment horizontal="left" vertical="center" wrapText="1"/>
    </xf>
    <xf numFmtId="0" fontId="2" fillId="14" borderId="0" xfId="0" applyFont="1" applyFill="1" applyAlignment="1">
      <alignment horizontal="left" vertical="center" wrapText="1"/>
    </xf>
    <xf numFmtId="176" fontId="6" fillId="14" borderId="0" xfId="0" applyNumberFormat="1" applyFont="1" applyFill="1" applyAlignment="1">
      <alignment horizontal="left" vertical="center" wrapText="1"/>
    </xf>
    <xf numFmtId="0" fontId="55" fillId="14" borderId="0" xfId="0" applyFont="1" applyFill="1" applyAlignment="1">
      <alignment vertical="center" wrapText="1"/>
    </xf>
    <xf numFmtId="0" fontId="0" fillId="0" borderId="0" xfId="0">
      <alignment vertical="center"/>
    </xf>
    <xf numFmtId="0" fontId="0" fillId="0" borderId="0" xfId="0" applyAlignment="1">
      <alignment horizontal="right" vertical="center"/>
    </xf>
    <xf numFmtId="0" fontId="0" fillId="0" borderId="0" xfId="0" applyAlignment="1">
      <alignment horizontal="left" vertical="center"/>
    </xf>
    <xf numFmtId="0" fontId="2" fillId="0" borderId="0" xfId="0" applyFont="1">
      <alignment vertical="center"/>
    </xf>
    <xf numFmtId="0" fontId="0" fillId="0" borderId="0" xfId="0">
      <alignment vertical="center"/>
    </xf>
    <xf numFmtId="0" fontId="9" fillId="0" borderId="0" xfId="0" quotePrefix="1" applyFont="1">
      <alignment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pplyProtection="1">
      <alignment horizontal="center" vertical="center"/>
      <protection locked="0"/>
    </xf>
    <xf numFmtId="0" fontId="176" fillId="0" borderId="2" xfId="0" applyFont="1" applyBorder="1">
      <alignment vertical="center"/>
    </xf>
    <xf numFmtId="0" fontId="177" fillId="0" borderId="4" xfId="0" applyFont="1" applyBorder="1" applyAlignment="1">
      <alignment horizontal="center" vertical="center" wrapText="1"/>
    </xf>
    <xf numFmtId="0" fontId="177" fillId="14" borderId="4" xfId="0" applyFont="1" applyFill="1" applyBorder="1" applyAlignment="1">
      <alignment horizontal="center" vertical="center" wrapText="1" shrinkToFit="1"/>
    </xf>
    <xf numFmtId="0" fontId="177" fillId="14" borderId="0" xfId="0" applyFont="1" applyFill="1" applyAlignment="1">
      <alignment horizontal="center" vertical="center" wrapText="1" shrinkToFit="1"/>
    </xf>
    <xf numFmtId="0" fontId="148" fillId="0" borderId="4" xfId="0" applyFont="1" applyBorder="1" applyAlignment="1">
      <alignment horizontal="center" vertical="center" wrapText="1"/>
    </xf>
    <xf numFmtId="0" fontId="176" fillId="14" borderId="4" xfId="0" applyFont="1" applyFill="1" applyBorder="1" applyAlignment="1">
      <alignment horizontal="center" vertical="center" wrapText="1" shrinkToFit="1"/>
    </xf>
    <xf numFmtId="0" fontId="178" fillId="0" borderId="4" xfId="0" applyFont="1" applyBorder="1">
      <alignment vertical="center"/>
    </xf>
    <xf numFmtId="0" fontId="179" fillId="0" borderId="4" xfId="0" applyFont="1" applyBorder="1" applyAlignment="1">
      <alignment horizontal="center" vertical="center"/>
    </xf>
    <xf numFmtId="0" fontId="179" fillId="0" borderId="0" xfId="0" applyFont="1" applyAlignment="1">
      <alignment horizontal="center" vertical="center"/>
    </xf>
    <xf numFmtId="0" fontId="180" fillId="0" borderId="4" xfId="0" applyFont="1" applyBorder="1">
      <alignment vertical="center"/>
    </xf>
    <xf numFmtId="180" fontId="176" fillId="0" borderId="4" xfId="0" applyNumberFormat="1" applyFont="1" applyBorder="1" applyAlignment="1">
      <alignment horizontal="right" vertical="center"/>
    </xf>
    <xf numFmtId="3" fontId="176" fillId="0" borderId="4" xfId="0" applyNumberFormat="1" applyFont="1" applyBorder="1" applyAlignment="1" applyProtection="1">
      <alignment horizontal="right" vertical="center"/>
      <protection locked="0"/>
    </xf>
    <xf numFmtId="3" fontId="176" fillId="0" borderId="4" xfId="0" applyNumberFormat="1" applyFont="1" applyBorder="1">
      <alignment vertical="center"/>
    </xf>
    <xf numFmtId="0" fontId="179" fillId="0" borderId="4" xfId="0" applyFont="1" applyBorder="1">
      <alignment vertical="center"/>
    </xf>
    <xf numFmtId="184" fontId="179" fillId="0" borderId="0" xfId="0" applyNumberFormat="1" applyFont="1" applyAlignment="1">
      <alignment horizontal="center" vertical="center" wrapText="1"/>
    </xf>
    <xf numFmtId="0" fontId="176" fillId="0" borderId="4" xfId="0" applyFont="1" applyBorder="1">
      <alignment vertical="center"/>
    </xf>
    <xf numFmtId="0" fontId="176" fillId="0" borderId="14" xfId="0" applyFont="1" applyBorder="1">
      <alignment vertical="center"/>
    </xf>
    <xf numFmtId="180" fontId="176" fillId="0" borderId="4" xfId="0" applyNumberFormat="1" applyFont="1" applyBorder="1">
      <alignment vertical="center"/>
    </xf>
    <xf numFmtId="176" fontId="100" fillId="0" borderId="0" xfId="0" applyNumberFormat="1" applyFont="1" applyAlignment="1">
      <alignment horizontal="right"/>
    </xf>
    <xf numFmtId="0" fontId="145" fillId="0" borderId="0" xfId="0" applyFont="1" applyAlignment="1">
      <alignment horizontal="left" vertical="center"/>
    </xf>
    <xf numFmtId="0" fontId="2" fillId="0" borderId="0" xfId="0" applyFont="1">
      <alignment vertical="center"/>
    </xf>
    <xf numFmtId="0" fontId="0" fillId="0" borderId="0" xfId="0">
      <alignment vertical="center"/>
    </xf>
    <xf numFmtId="183" fontId="3" fillId="0" borderId="0" xfId="0" applyNumberFormat="1" applyFont="1" applyAlignment="1">
      <alignment vertical="center" wrapText="1"/>
    </xf>
    <xf numFmtId="183" fontId="14" fillId="0" borderId="0" xfId="0" applyNumberFormat="1" applyFont="1" applyAlignment="1">
      <alignment vertical="center" wrapText="1"/>
    </xf>
    <xf numFmtId="183" fontId="2" fillId="0" borderId="0" xfId="0" applyNumberFormat="1" applyFont="1" applyAlignment="1">
      <alignment vertical="center" shrinkToFit="1"/>
    </xf>
    <xf numFmtId="183" fontId="0" fillId="0" borderId="0" xfId="0" applyNumberFormat="1" applyAlignment="1">
      <alignment vertical="center" shrinkToFit="1"/>
    </xf>
    <xf numFmtId="0" fontId="2" fillId="0" borderId="0" xfId="0" applyFont="1" applyAlignment="1">
      <alignment horizontal="left" vertical="center" wrapText="1"/>
    </xf>
    <xf numFmtId="0" fontId="94" fillId="0" borderId="0" xfId="0" applyFont="1" applyAlignment="1">
      <alignment vertical="top" wrapText="1"/>
    </xf>
    <xf numFmtId="0" fontId="3" fillId="0" borderId="5" xfId="0" applyFont="1" applyBorder="1" applyAlignment="1" applyProtection="1">
      <alignment vertical="center" wrapText="1"/>
      <protection locked="0"/>
    </xf>
    <xf numFmtId="0" fontId="14" fillId="0" borderId="14"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6"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7" xfId="0" applyFont="1" applyBorder="1" applyAlignment="1" applyProtection="1">
      <alignment vertical="center" wrapText="1"/>
      <protection locked="0"/>
    </xf>
    <xf numFmtId="0" fontId="3" fillId="0" borderId="10" xfId="0" applyFont="1" applyBorder="1" applyProtection="1">
      <alignment vertical="center"/>
      <protection locked="0"/>
    </xf>
    <xf numFmtId="0" fontId="14" fillId="0" borderId="16" xfId="0" applyFont="1" applyBorder="1" applyProtection="1">
      <alignment vertical="center"/>
      <protection locked="0"/>
    </xf>
    <xf numFmtId="0" fontId="2" fillId="2" borderId="10" xfId="0" applyFont="1" applyFill="1" applyBorder="1" applyAlignment="1">
      <alignment horizontal="center" vertical="center" wrapText="1"/>
    </xf>
    <xf numFmtId="0" fontId="0" fillId="2" borderId="16" xfId="0" applyFill="1" applyBorder="1" applyAlignment="1">
      <alignment horizontal="center" vertical="center" wrapText="1"/>
    </xf>
    <xf numFmtId="0" fontId="0" fillId="2" borderId="11" xfId="0" applyFill="1" applyBorder="1" applyAlignment="1">
      <alignment horizontal="center" vertical="center" wrapText="1"/>
    </xf>
    <xf numFmtId="0" fontId="2" fillId="2" borderId="5" xfId="0" applyFont="1" applyFill="1" applyBorder="1" applyAlignment="1">
      <alignment horizontal="center" vertical="center" wrapText="1"/>
    </xf>
    <xf numFmtId="0" fontId="0" fillId="2" borderId="3" xfId="0" applyFill="1" applyBorder="1" applyAlignment="1">
      <alignment horizontal="center" vertical="center" wrapText="1"/>
    </xf>
    <xf numFmtId="0" fontId="2" fillId="2" borderId="6" xfId="0" applyFont="1" applyFill="1" applyBorder="1" applyAlignment="1">
      <alignment horizontal="center" vertical="center" wrapText="1"/>
    </xf>
    <xf numFmtId="0" fontId="0" fillId="2" borderId="7" xfId="0" applyFill="1" applyBorder="1" applyAlignment="1">
      <alignment horizontal="center" vertical="center" wrapText="1"/>
    </xf>
    <xf numFmtId="0" fontId="0" fillId="2" borderId="6" xfId="0" applyFill="1" applyBorder="1" applyAlignment="1">
      <alignment horizontal="center" vertical="center" wrapText="1"/>
    </xf>
    <xf numFmtId="0" fontId="3" fillId="0" borderId="6" xfId="0" applyFont="1" applyBorder="1" applyAlignment="1" applyProtection="1">
      <alignment vertical="center" wrapText="1"/>
      <protection locked="0"/>
    </xf>
    <xf numFmtId="0" fontId="6" fillId="0" borderId="10" xfId="0" applyFont="1" applyBorder="1" applyAlignment="1" applyProtection="1">
      <alignment horizontal="center" vertical="center" shrinkToFit="1"/>
      <protection locked="0"/>
    </xf>
    <xf numFmtId="0" fontId="13" fillId="0" borderId="16" xfId="0" applyFont="1" applyBorder="1" applyAlignment="1" applyProtection="1">
      <alignment horizontal="center" vertical="center" shrinkToFit="1"/>
      <protection locked="0"/>
    </xf>
    <xf numFmtId="0" fontId="13" fillId="0" borderId="11" xfId="0" applyFont="1" applyBorder="1" applyAlignment="1" applyProtection="1">
      <alignment vertical="center" shrinkToFit="1"/>
      <protection locked="0"/>
    </xf>
    <xf numFmtId="0" fontId="3" fillId="0" borderId="10" xfId="0" applyFont="1" applyBorder="1" applyAlignment="1" applyProtection="1">
      <alignment vertical="center" shrinkToFit="1"/>
      <protection locked="0"/>
    </xf>
    <xf numFmtId="0" fontId="14" fillId="0" borderId="16" xfId="0" applyFont="1" applyBorder="1" applyAlignment="1" applyProtection="1">
      <alignment vertical="center" shrinkToFit="1"/>
      <protection locked="0"/>
    </xf>
    <xf numFmtId="0" fontId="3" fillId="0" borderId="16" xfId="0" applyFont="1" applyBorder="1" applyAlignment="1" applyProtection="1">
      <alignment vertical="center" shrinkToFit="1"/>
      <protection locked="0"/>
    </xf>
    <xf numFmtId="0" fontId="6" fillId="0" borderId="10" xfId="0" applyFont="1" applyBorder="1" applyProtection="1">
      <alignment vertical="center"/>
      <protection locked="0"/>
    </xf>
    <xf numFmtId="0" fontId="13" fillId="0" borderId="16" xfId="0" applyFont="1" applyBorder="1" applyProtection="1">
      <alignment vertical="center"/>
      <protection locked="0"/>
    </xf>
    <xf numFmtId="0" fontId="3" fillId="0" borderId="56" xfId="0" applyFont="1" applyBorder="1" applyAlignment="1" applyProtection="1">
      <alignment vertical="center" shrinkToFit="1"/>
      <protection locked="0"/>
    </xf>
    <xf numFmtId="0" fontId="14" fillId="0" borderId="56" xfId="0" applyFont="1" applyBorder="1" applyAlignment="1" applyProtection="1">
      <alignment vertical="center" shrinkToFit="1"/>
      <protection locked="0"/>
    </xf>
    <xf numFmtId="0" fontId="14" fillId="0" borderId="57"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13" fillId="0" borderId="53" xfId="0" applyFont="1" applyBorder="1" applyAlignment="1" applyProtection="1">
      <alignment vertical="center" shrinkToFit="1"/>
      <protection locked="0"/>
    </xf>
    <xf numFmtId="0" fontId="13" fillId="0" borderId="54" xfId="0" applyFont="1" applyBorder="1" applyAlignment="1" applyProtection="1">
      <alignment vertical="center" shrinkToFit="1"/>
      <protection locked="0"/>
    </xf>
    <xf numFmtId="0" fontId="2" fillId="2" borderId="4" xfId="0" applyFont="1" applyFill="1" applyBorder="1" applyAlignment="1">
      <alignment horizontal="center" vertical="center" wrapText="1"/>
    </xf>
    <xf numFmtId="0" fontId="0" fillId="2" borderId="4" xfId="0" applyFill="1" applyBorder="1" applyAlignment="1">
      <alignment horizontal="center" vertical="center" wrapText="1"/>
    </xf>
    <xf numFmtId="0" fontId="5" fillId="0" borderId="4"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0" fillId="0" borderId="16" xfId="0" applyBorder="1" applyAlignment="1">
      <alignment horizontal="center" vertical="center" wrapText="1"/>
    </xf>
    <xf numFmtId="0" fontId="0" fillId="0" borderId="11" xfId="0" applyBorder="1" applyAlignment="1">
      <alignment horizontal="center" vertical="center" wrapText="1"/>
    </xf>
    <xf numFmtId="0" fontId="0" fillId="2" borderId="14" xfId="0" applyFill="1" applyBorder="1" applyAlignment="1">
      <alignment horizontal="center" vertical="center" wrapText="1"/>
    </xf>
    <xf numFmtId="0" fontId="0" fillId="2" borderId="0" xfId="0" applyFill="1" applyAlignment="1">
      <alignment horizontal="center" vertical="center" wrapText="1"/>
    </xf>
    <xf numFmtId="0" fontId="2" fillId="2" borderId="12"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6" xfId="0" applyBorder="1" applyAlignment="1">
      <alignment horizontal="center" vertical="center" wrapText="1"/>
    </xf>
    <xf numFmtId="0" fontId="0" fillId="0" borderId="13" xfId="0" applyBorder="1" applyAlignment="1">
      <alignment horizontal="center" vertical="center" wrapText="1"/>
    </xf>
    <xf numFmtId="0" fontId="6" fillId="0" borderId="10" xfId="0" applyFont="1" applyBorder="1" applyAlignment="1" applyProtection="1">
      <alignment horizontal="left" vertical="center" shrinkToFit="1"/>
      <protection locked="0"/>
    </xf>
    <xf numFmtId="0" fontId="6" fillId="0" borderId="16" xfId="0" applyFont="1" applyBorder="1" applyAlignment="1" applyProtection="1">
      <alignment horizontal="left" vertical="center" shrinkToFit="1"/>
      <protection locked="0"/>
    </xf>
    <xf numFmtId="0" fontId="6" fillId="0" borderId="11" xfId="0" applyFont="1" applyBorder="1" applyAlignment="1" applyProtection="1">
      <alignment horizontal="left" vertical="center" shrinkToFit="1"/>
      <protection locked="0"/>
    </xf>
    <xf numFmtId="0" fontId="5" fillId="0" borderId="10"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181" fontId="3" fillId="0" borderId="16" xfId="0" applyNumberFormat="1" applyFont="1" applyBorder="1" applyAlignment="1">
      <alignment horizontal="right" vertical="center" shrinkToFit="1"/>
    </xf>
    <xf numFmtId="181" fontId="14" fillId="0" borderId="16" xfId="0" applyNumberFormat="1" applyFont="1" applyBorder="1" applyAlignment="1">
      <alignment horizontal="right" vertical="center" shrinkToFit="1"/>
    </xf>
    <xf numFmtId="178" fontId="3" fillId="0" borderId="10" xfId="0" applyNumberFormat="1" applyFont="1" applyBorder="1">
      <alignment vertical="center"/>
    </xf>
    <xf numFmtId="178" fontId="14" fillId="0" borderId="16" xfId="0" applyNumberFormat="1" applyFont="1" applyBorder="1">
      <alignment vertical="center"/>
    </xf>
    <xf numFmtId="0" fontId="6" fillId="0" borderId="5" xfId="0" applyFont="1" applyBorder="1" applyAlignment="1" applyProtection="1">
      <alignment horizontal="center" vertical="center" shrinkToFit="1"/>
      <protection locked="0"/>
    </xf>
    <xf numFmtId="0" fontId="13" fillId="0" borderId="14"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5" fillId="0" borderId="10" xfId="0" applyFont="1" applyBorder="1" applyAlignment="1">
      <alignment horizontal="left" vertical="center" wrapText="1" shrinkToFit="1"/>
    </xf>
    <xf numFmtId="0" fontId="12" fillId="0" borderId="16" xfId="0" applyFont="1" applyBorder="1" applyAlignment="1">
      <alignment horizontal="left" vertical="center" shrinkToFit="1"/>
    </xf>
    <xf numFmtId="0" fontId="12" fillId="0" borderId="16" xfId="0" applyFont="1" applyBorder="1" applyAlignment="1">
      <alignment vertical="center" shrinkToFit="1"/>
    </xf>
    <xf numFmtId="0" fontId="12" fillId="0" borderId="11" xfId="0" applyFont="1" applyBorder="1" applyAlignment="1">
      <alignment vertical="center" shrinkToFit="1"/>
    </xf>
    <xf numFmtId="0" fontId="2" fillId="2" borderId="4"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4" xfId="0" applyBorder="1" applyAlignment="1">
      <alignment vertical="center" shrinkToFit="1"/>
    </xf>
    <xf numFmtId="0" fontId="6" fillId="0" borderId="16" xfId="0" applyFont="1" applyBorder="1" applyProtection="1">
      <alignment vertical="center"/>
      <protection locked="0"/>
    </xf>
    <xf numFmtId="0" fontId="5" fillId="0" borderId="59" xfId="0" applyFont="1" applyBorder="1" applyAlignment="1">
      <alignment horizontal="center"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55" fillId="2" borderId="5" xfId="0" applyFont="1" applyFill="1" applyBorder="1" applyAlignment="1">
      <alignment horizontal="center" vertical="center" wrapText="1" shrinkToFit="1"/>
    </xf>
    <xf numFmtId="0" fontId="56" fillId="2" borderId="14" xfId="0" applyFont="1" applyFill="1" applyBorder="1" applyAlignment="1">
      <alignment horizontal="center" vertical="center" wrapText="1" shrinkToFit="1"/>
    </xf>
    <xf numFmtId="0" fontId="56" fillId="2" borderId="3" xfId="0" applyFont="1" applyFill="1" applyBorder="1" applyAlignment="1">
      <alignment horizontal="center" vertical="center" wrapText="1" shrinkToFit="1"/>
    </xf>
    <xf numFmtId="0" fontId="25" fillId="2" borderId="8"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9" xfId="0" applyFont="1" applyFill="1" applyBorder="1" applyAlignment="1">
      <alignment horizontal="center" vertical="center"/>
    </xf>
    <xf numFmtId="0" fontId="0" fillId="2" borderId="8" xfId="0" applyFill="1" applyBorder="1" applyAlignment="1">
      <alignment horizontal="center" vertical="center" wrapText="1"/>
    </xf>
    <xf numFmtId="0" fontId="0" fillId="2" borderId="2" xfId="0" applyFill="1" applyBorder="1" applyAlignment="1">
      <alignment horizontal="center" vertical="center" wrapText="1"/>
    </xf>
    <xf numFmtId="0" fontId="0" fillId="2" borderId="9" xfId="0" applyFill="1" applyBorder="1" applyAlignment="1">
      <alignment horizontal="center" vertical="center" wrapText="1"/>
    </xf>
    <xf numFmtId="0" fontId="6" fillId="0" borderId="16"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2" fillId="2" borderId="13" xfId="0" applyFont="1" applyFill="1" applyBorder="1" applyAlignment="1">
      <alignment horizontal="center" vertical="center" shrinkToFit="1"/>
    </xf>
    <xf numFmtId="0" fontId="0" fillId="0" borderId="13" xfId="0" applyBorder="1" applyAlignment="1">
      <alignment horizontal="center" vertical="center" shrinkToFit="1"/>
    </xf>
    <xf numFmtId="0" fontId="0" fillId="0" borderId="13" xfId="0" applyBorder="1" applyAlignment="1">
      <alignment vertical="center" shrinkToFit="1"/>
    </xf>
    <xf numFmtId="0" fontId="5" fillId="0" borderId="16" xfId="0" applyFont="1" applyBorder="1" applyAlignment="1" applyProtection="1">
      <alignment vertical="center" wrapText="1"/>
      <protection locked="0"/>
    </xf>
    <xf numFmtId="0" fontId="0" fillId="0" borderId="16" xfId="0" applyBorder="1" applyAlignment="1" applyProtection="1">
      <alignment vertical="center" wrapText="1"/>
      <protection locked="0"/>
    </xf>
    <xf numFmtId="0" fontId="0" fillId="0" borderId="11" xfId="0" applyBorder="1" applyAlignment="1" applyProtection="1">
      <alignment vertical="center" wrapText="1"/>
      <protection locked="0"/>
    </xf>
    <xf numFmtId="0" fontId="5" fillId="0" borderId="16" xfId="0" applyFont="1" applyBorder="1" applyAlignment="1" applyProtection="1">
      <alignment vertical="center" shrinkToFit="1"/>
      <protection locked="0"/>
    </xf>
    <xf numFmtId="0" fontId="0" fillId="0" borderId="16" xfId="0" applyBorder="1" applyAlignment="1" applyProtection="1">
      <alignment vertical="center" shrinkToFit="1"/>
      <protection locked="0"/>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6" fillId="0" borderId="10" xfId="0" applyFont="1" applyBorder="1" applyAlignment="1" applyProtection="1">
      <alignment horizontal="left" vertical="center" wrapText="1"/>
      <protection locked="0"/>
    </xf>
    <xf numFmtId="0" fontId="13" fillId="0" borderId="16"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shrinkToFit="1"/>
      <protection locked="0"/>
    </xf>
    <xf numFmtId="0" fontId="12" fillId="0" borderId="4" xfId="0" applyFont="1" applyBorder="1" applyAlignment="1" applyProtection="1">
      <alignment horizontal="left" vertical="center" wrapText="1" shrinkToFit="1"/>
      <protection locked="0"/>
    </xf>
    <xf numFmtId="183" fontId="108" fillId="0" borderId="0" xfId="0" applyNumberFormat="1" applyFont="1" applyAlignment="1">
      <alignment horizontal="right" vertical="center"/>
    </xf>
    <xf numFmtId="0" fontId="0" fillId="0" borderId="0" xfId="0" applyAlignment="1">
      <alignment horizontal="right" vertical="center"/>
    </xf>
    <xf numFmtId="0" fontId="107" fillId="0" borderId="0" xfId="0" applyFont="1" applyAlignment="1">
      <alignment horizontal="right" vertical="center" wrapText="1"/>
    </xf>
    <xf numFmtId="0" fontId="0" fillId="0" borderId="0" xfId="0" applyAlignment="1">
      <alignment horizontal="right" vertical="center" wrapText="1"/>
    </xf>
    <xf numFmtId="183" fontId="2" fillId="0" borderId="2" xfId="0" applyNumberFormat="1" applyFont="1" applyBorder="1" applyAlignment="1">
      <alignment vertical="center" shrinkToFit="1"/>
    </xf>
    <xf numFmtId="183" fontId="0" fillId="0" borderId="2" xfId="0" applyNumberFormat="1" applyBorder="1" applyAlignment="1">
      <alignment vertical="center" shrinkToFit="1"/>
    </xf>
    <xf numFmtId="176" fontId="2" fillId="0" borderId="2" xfId="0" applyNumberFormat="1" applyFont="1" applyBorder="1">
      <alignment vertical="center"/>
    </xf>
    <xf numFmtId="176" fontId="0" fillId="0" borderId="2" xfId="0" applyNumberFormat="1" applyBorder="1">
      <alignment vertical="center"/>
    </xf>
    <xf numFmtId="176" fontId="2" fillId="0" borderId="2" xfId="0" applyNumberFormat="1" applyFont="1" applyBorder="1" applyAlignment="1">
      <alignment horizontal="right" vertical="center" wrapText="1"/>
    </xf>
    <xf numFmtId="176" fontId="0" fillId="0" borderId="2" xfId="0" applyNumberFormat="1" applyBorder="1" applyAlignment="1">
      <alignment horizontal="right" vertical="center"/>
    </xf>
    <xf numFmtId="0" fontId="86" fillId="0" borderId="14" xfId="0" applyFont="1" applyBorder="1" applyAlignment="1">
      <alignment horizontal="left" vertical="center" wrapText="1"/>
    </xf>
    <xf numFmtId="0" fontId="88" fillId="0" borderId="14" xfId="0" applyFont="1" applyBorder="1" applyAlignment="1">
      <alignment horizontal="left" vertical="center" wrapText="1"/>
    </xf>
    <xf numFmtId="0" fontId="88" fillId="0" borderId="0" xfId="0" applyFont="1" applyAlignment="1">
      <alignment horizontal="left" vertical="center" wrapText="1"/>
    </xf>
    <xf numFmtId="0" fontId="6" fillId="0" borderId="16" xfId="0" applyFont="1" applyBorder="1" applyAlignment="1">
      <alignment vertical="center" shrinkToFit="1"/>
    </xf>
    <xf numFmtId="0" fontId="13" fillId="0" borderId="16" xfId="0" applyFont="1" applyBorder="1" applyAlignment="1">
      <alignment vertical="center" shrinkToFit="1"/>
    </xf>
    <xf numFmtId="0" fontId="13" fillId="0" borderId="11" xfId="0" applyFont="1" applyBorder="1" applyAlignment="1">
      <alignment vertical="center" shrinkToFit="1"/>
    </xf>
    <xf numFmtId="0" fontId="3" fillId="2" borderId="12"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5" fillId="0" borderId="10" xfId="0" applyFont="1" applyBorder="1" applyAlignment="1" applyProtection="1">
      <alignment horizontal="right" vertical="center" shrinkToFit="1"/>
      <protection locked="0"/>
    </xf>
    <xf numFmtId="0" fontId="12" fillId="0" borderId="16" xfId="0" applyFont="1" applyBorder="1" applyAlignment="1" applyProtection="1">
      <alignment horizontal="right" vertical="center" shrinkToFit="1"/>
      <protection locked="0"/>
    </xf>
    <xf numFmtId="0" fontId="5"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2" fillId="2" borderId="11" xfId="0" applyFont="1" applyFill="1" applyBorder="1" applyAlignment="1">
      <alignment horizontal="center" vertical="center" wrapText="1"/>
    </xf>
    <xf numFmtId="0" fontId="3" fillId="0" borderId="16" xfId="0" applyFont="1" applyBorder="1" applyAlignment="1" applyProtection="1">
      <alignment horizontal="right" vertical="center" shrinkToFit="1"/>
      <protection locked="0"/>
    </xf>
    <xf numFmtId="0" fontId="14" fillId="0" borderId="16" xfId="0" applyFont="1" applyBorder="1" applyAlignment="1" applyProtection="1">
      <alignment horizontal="right" vertical="center" shrinkToFit="1"/>
      <protection locked="0"/>
    </xf>
    <xf numFmtId="0" fontId="6" fillId="0" borderId="14" xfId="0" applyFont="1" applyBorder="1" applyAlignment="1" applyProtection="1">
      <alignment horizontal="left" vertical="center" shrinkToFit="1"/>
      <protection locked="0"/>
    </xf>
    <xf numFmtId="0" fontId="13" fillId="0" borderId="14" xfId="0" applyFont="1" applyBorder="1" applyAlignment="1" applyProtection="1">
      <alignment horizontal="left" vertical="center" shrinkToFit="1"/>
      <protection locked="0"/>
    </xf>
    <xf numFmtId="0" fontId="6" fillId="0" borderId="5" xfId="0" applyFont="1" applyBorder="1" applyAlignment="1">
      <alignment vertical="center" shrinkToFit="1"/>
    </xf>
    <xf numFmtId="0" fontId="13" fillId="0" borderId="14" xfId="0" applyFont="1" applyBorder="1" applyAlignment="1">
      <alignment vertical="center" shrinkToFit="1"/>
    </xf>
    <xf numFmtId="0" fontId="0" fillId="0" borderId="14" xfId="0" applyBorder="1" applyAlignment="1">
      <alignment vertical="center" shrinkToFit="1"/>
    </xf>
    <xf numFmtId="0" fontId="6" fillId="0" borderId="4" xfId="0" applyFont="1" applyBorder="1" applyAlignment="1" applyProtection="1">
      <alignment horizontal="left" vertical="center" wrapText="1"/>
      <protection locked="0"/>
    </xf>
    <xf numFmtId="0" fontId="6" fillId="0" borderId="5"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63" xfId="0" applyFont="1" applyBorder="1" applyAlignment="1">
      <alignment horizontal="center" vertical="center" wrapText="1"/>
    </xf>
    <xf numFmtId="0" fontId="68" fillId="0" borderId="64" xfId="0" applyFont="1" applyBorder="1" applyAlignment="1">
      <alignment horizontal="center" vertical="center" wrapText="1"/>
    </xf>
    <xf numFmtId="0" fontId="68" fillId="0" borderId="68" xfId="0" applyFont="1" applyBorder="1" applyAlignment="1">
      <alignment horizontal="center" vertical="center" wrapText="1"/>
    </xf>
    <xf numFmtId="176" fontId="6" fillId="0" borderId="10" xfId="0" applyNumberFormat="1" applyFont="1" applyBorder="1" applyAlignment="1" applyProtection="1">
      <alignment vertical="center" wrapText="1"/>
      <protection locked="0"/>
    </xf>
    <xf numFmtId="176" fontId="6" fillId="0" borderId="16" xfId="0" applyNumberFormat="1" applyFont="1" applyBorder="1" applyAlignment="1" applyProtection="1">
      <alignment vertical="center" wrapText="1"/>
      <protection locked="0"/>
    </xf>
    <xf numFmtId="0" fontId="5" fillId="0" borderId="10" xfId="0" applyFont="1" applyBorder="1" applyAlignment="1" applyProtection="1">
      <alignment horizontal="right" vertical="center" wrapText="1"/>
      <protection locked="0"/>
    </xf>
    <xf numFmtId="0" fontId="2" fillId="0" borderId="16" xfId="0" applyFont="1" applyBorder="1" applyAlignment="1" applyProtection="1">
      <alignment horizontal="right" vertical="center" wrapText="1"/>
      <protection locked="0"/>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5"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vertical="center" wrapText="1"/>
      <protection locked="0"/>
    </xf>
    <xf numFmtId="0" fontId="5" fillId="0" borderId="8" xfId="0" applyFont="1" applyBorder="1" applyAlignment="1">
      <alignment horizontal="center" vertical="center" shrinkToFit="1"/>
    </xf>
    <xf numFmtId="0" fontId="5" fillId="0" borderId="2" xfId="0" applyFont="1" applyBorder="1" applyAlignment="1">
      <alignment vertical="center" shrinkToFit="1"/>
    </xf>
    <xf numFmtId="0" fontId="5" fillId="0" borderId="14" xfId="0" applyFont="1" applyBorder="1" applyAlignment="1" applyProtection="1">
      <alignment horizontal="right" vertical="center" shrinkToFit="1"/>
      <protection locked="0"/>
    </xf>
    <xf numFmtId="0" fontId="5" fillId="0" borderId="5" xfId="0" applyFont="1" applyBorder="1" applyAlignment="1" applyProtection="1">
      <alignment horizontal="right" vertical="center" shrinkToFit="1"/>
      <protection locked="0"/>
    </xf>
    <xf numFmtId="0" fontId="5" fillId="0" borderId="2" xfId="0" applyFont="1" applyBorder="1" applyAlignment="1" applyProtection="1">
      <alignment vertical="center" shrinkToFit="1"/>
      <protection locked="0"/>
    </xf>
    <xf numFmtId="0" fontId="5" fillId="0" borderId="9" xfId="0" applyFont="1" applyBorder="1" applyAlignment="1" applyProtection="1">
      <alignment vertical="center" shrinkToFit="1"/>
      <protection locked="0"/>
    </xf>
    <xf numFmtId="0" fontId="5" fillId="0" borderId="6" xfId="0" applyFont="1" applyBorder="1" applyAlignment="1" applyProtection="1">
      <alignment horizontal="right" vertical="center" shrinkToFit="1"/>
      <protection locked="0"/>
    </xf>
    <xf numFmtId="0" fontId="5" fillId="0" borderId="0" xfId="0" applyFont="1" applyAlignment="1" applyProtection="1">
      <alignment horizontal="right" vertical="center" shrinkToFit="1"/>
      <protection locked="0"/>
    </xf>
    <xf numFmtId="0" fontId="25" fillId="0" borderId="16" xfId="0" applyFont="1" applyBorder="1" applyAlignment="1">
      <alignment vertical="center" wrapText="1"/>
    </xf>
    <xf numFmtId="0" fontId="71" fillId="0" borderId="16" xfId="0" applyFont="1" applyBorder="1" applyAlignment="1">
      <alignment vertical="center" wrapText="1"/>
    </xf>
    <xf numFmtId="0" fontId="71" fillId="0" borderId="11" xfId="0" applyFont="1" applyBorder="1" applyAlignment="1">
      <alignment vertical="center" wrapText="1"/>
    </xf>
    <xf numFmtId="0" fontId="5" fillId="0" borderId="16" xfId="0" applyFont="1" applyBorder="1" applyAlignment="1">
      <alignment vertical="center" wrapText="1"/>
    </xf>
    <xf numFmtId="0" fontId="0" fillId="0" borderId="16" xfId="0" applyBorder="1" applyAlignment="1">
      <alignment vertical="center" wrapText="1"/>
    </xf>
    <xf numFmtId="0" fontId="0" fillId="0" borderId="11" xfId="0" applyBorder="1" applyAlignment="1">
      <alignmen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9" xfId="0" applyFont="1" applyBorder="1" applyAlignment="1">
      <alignment horizontal="left"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5" fillId="0" borderId="0"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0" xfId="0" applyFont="1" applyBorder="1" applyAlignment="1" applyProtection="1">
      <alignment vertical="center" shrinkToFit="1"/>
      <protection locked="0"/>
    </xf>
    <xf numFmtId="0" fontId="0" fillId="0" borderId="14"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177" fontId="5" fillId="0" borderId="10" xfId="0" applyNumberFormat="1" applyFont="1" applyBorder="1" applyAlignment="1">
      <alignment horizontal="right" vertical="center" wrapText="1"/>
    </xf>
    <xf numFmtId="177" fontId="5" fillId="0" borderId="16" xfId="0" applyNumberFormat="1" applyFont="1" applyBorder="1" applyAlignment="1">
      <alignment horizontal="right" vertical="center" wrapText="1"/>
    </xf>
    <xf numFmtId="0" fontId="6" fillId="0" borderId="16"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180" fontId="5" fillId="0" borderId="10" xfId="0" applyNumberFormat="1" applyFont="1" applyBorder="1" applyAlignment="1">
      <alignment horizontal="right" vertical="center" shrinkToFit="1"/>
    </xf>
    <xf numFmtId="180" fontId="5" fillId="0" borderId="16" xfId="0" applyNumberFormat="1" applyFont="1" applyBorder="1" applyAlignment="1">
      <alignment horizontal="right" vertical="center" shrinkToFit="1"/>
    </xf>
    <xf numFmtId="180" fontId="12" fillId="0" borderId="16" xfId="0" applyNumberFormat="1" applyFont="1" applyBorder="1" applyAlignment="1">
      <alignment horizontal="right" vertical="center" shrinkToFit="1"/>
    </xf>
    <xf numFmtId="0" fontId="5" fillId="0" borderId="2"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5" fillId="2" borderId="4" xfId="0" applyFont="1" applyFill="1" applyBorder="1" applyAlignment="1">
      <alignment horizontal="left" vertical="center" wrapText="1"/>
    </xf>
    <xf numFmtId="0" fontId="0" fillId="0" borderId="4" xfId="0" applyBorder="1" applyAlignment="1">
      <alignment horizontal="left" vertical="center" wrapText="1"/>
    </xf>
    <xf numFmtId="0" fontId="6" fillId="0" borderId="16"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3" fillId="2" borderId="4"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6" fillId="0" borderId="65" xfId="0" applyFont="1" applyBorder="1" applyAlignment="1">
      <alignment horizontal="center" vertical="center" wrapText="1"/>
    </xf>
    <xf numFmtId="0" fontId="13" fillId="0" borderId="66" xfId="0" applyFont="1" applyBorder="1" applyAlignment="1">
      <alignment horizontal="center" vertical="center" wrapText="1"/>
    </xf>
    <xf numFmtId="0" fontId="13" fillId="0" borderId="73" xfId="0" applyFont="1"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5" fillId="0" borderId="5" xfId="0" applyFont="1" applyBorder="1" applyAlignment="1" applyProtection="1">
      <alignment vertical="center" wrapText="1"/>
      <protection locked="0"/>
    </xf>
    <xf numFmtId="0" fontId="2" fillId="0" borderId="14"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2" fillId="2" borderId="10" xfId="0" applyFont="1" applyFill="1" applyBorder="1" applyAlignment="1">
      <alignment horizontal="center" vertical="center"/>
    </xf>
    <xf numFmtId="0" fontId="0" fillId="0" borderId="16" xfId="0" applyBorder="1">
      <alignment vertical="center"/>
    </xf>
    <xf numFmtId="0" fontId="0" fillId="0" borderId="11" xfId="0" applyBorder="1">
      <alignment vertical="center"/>
    </xf>
    <xf numFmtId="0" fontId="5" fillId="2" borderId="4"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5" fillId="0" borderId="18" xfId="0" applyFont="1" applyBorder="1" applyAlignment="1" applyProtection="1">
      <alignment vertical="center" wrapText="1"/>
      <protection locked="0"/>
    </xf>
    <xf numFmtId="0" fontId="12" fillId="0" borderId="18"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12" fillId="0" borderId="2" xfId="0" applyFont="1" applyBorder="1" applyAlignment="1" applyProtection="1">
      <alignment vertical="center" wrapText="1"/>
      <protection locked="0"/>
    </xf>
    <xf numFmtId="0" fontId="3" fillId="2" borderId="10" xfId="0" applyFont="1" applyFill="1" applyBorder="1" applyAlignment="1">
      <alignment horizontal="right" vertical="center" shrinkToFit="1"/>
    </xf>
    <xf numFmtId="0" fontId="2" fillId="2" borderId="11" xfId="0" applyFont="1" applyFill="1" applyBorder="1" applyAlignment="1">
      <alignment horizontal="right" vertical="center" shrinkToFit="1"/>
    </xf>
    <xf numFmtId="0" fontId="3" fillId="2" borderId="4" xfId="0" applyFont="1" applyFill="1" applyBorder="1" applyAlignment="1">
      <alignment horizontal="left" vertical="center"/>
    </xf>
    <xf numFmtId="0" fontId="0" fillId="2" borderId="4" xfId="0" applyFill="1" applyBorder="1" applyAlignment="1">
      <alignment horizontal="left" vertical="center"/>
    </xf>
    <xf numFmtId="0" fontId="2" fillId="0" borderId="17" xfId="0" applyFont="1" applyBorder="1" applyAlignment="1">
      <alignment vertical="center" wrapText="1"/>
    </xf>
    <xf numFmtId="0" fontId="0" fillId="0" borderId="18" xfId="0" applyBorder="1" applyAlignment="1">
      <alignment vertical="center" wrapText="1"/>
    </xf>
    <xf numFmtId="0" fontId="2" fillId="0" borderId="8" xfId="0" applyFont="1" applyBorder="1" applyAlignment="1">
      <alignment vertical="center" wrapText="1"/>
    </xf>
    <xf numFmtId="0" fontId="0" fillId="0" borderId="2" xfId="0" applyBorder="1" applyAlignment="1">
      <alignment vertical="center" wrapText="1"/>
    </xf>
    <xf numFmtId="0" fontId="12" fillId="0" borderId="14"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8" xfId="0" applyFont="1" applyBorder="1" applyAlignment="1" applyProtection="1">
      <alignment vertical="center" wrapText="1"/>
      <protection locked="0"/>
    </xf>
    <xf numFmtId="0" fontId="12" fillId="0" borderId="9" xfId="0" applyFont="1" applyBorder="1" applyAlignment="1" applyProtection="1">
      <alignment vertical="center" wrapText="1"/>
      <protection locked="0"/>
    </xf>
    <xf numFmtId="0" fontId="5" fillId="0" borderId="4" xfId="0" applyFont="1" applyBorder="1" applyAlignment="1" applyProtection="1">
      <alignment horizontal="left" vertical="center" shrinkToFit="1"/>
      <protection locked="0"/>
    </xf>
    <xf numFmtId="0" fontId="12" fillId="0" borderId="4" xfId="0" applyFont="1" applyBorder="1" applyAlignment="1" applyProtection="1">
      <alignment horizontal="left" vertical="center" shrinkToFit="1"/>
      <protection locked="0"/>
    </xf>
    <xf numFmtId="0" fontId="5"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5" fillId="2" borderId="10" xfId="0" applyFont="1" applyFill="1" applyBorder="1" applyAlignment="1">
      <alignment horizontal="center" vertical="center" wrapText="1"/>
    </xf>
    <xf numFmtId="0" fontId="12" fillId="0" borderId="11" xfId="0" applyFont="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5" fillId="0" borderId="0" xfId="0" applyFont="1" applyAlignment="1">
      <alignment vertical="center" wrapText="1"/>
    </xf>
    <xf numFmtId="0" fontId="12" fillId="0" borderId="0" xfId="0" applyFont="1" applyAlignment="1">
      <alignment vertical="center" wrapText="1"/>
    </xf>
    <xf numFmtId="0" fontId="143" fillId="0" borderId="0" xfId="0" quotePrefix="1" applyFont="1">
      <alignment vertical="center"/>
    </xf>
    <xf numFmtId="0" fontId="68" fillId="0" borderId="0" xfId="0" applyFont="1">
      <alignment vertical="center"/>
    </xf>
    <xf numFmtId="0" fontId="9" fillId="0" borderId="0" xfId="0" quotePrefix="1" applyFont="1">
      <alignment vertical="center"/>
    </xf>
    <xf numFmtId="0" fontId="115" fillId="0" borderId="0" xfId="0" applyFont="1" applyAlignment="1">
      <alignment horizontal="left" vertical="center" shrinkToFit="1"/>
    </xf>
    <xf numFmtId="0" fontId="116" fillId="0" borderId="0" xfId="0" applyFont="1" applyAlignment="1">
      <alignment horizontal="left" vertical="center" shrinkToFit="1"/>
    </xf>
    <xf numFmtId="0" fontId="153" fillId="0" borderId="0" xfId="0" applyFont="1" applyAlignment="1">
      <alignment horizontal="left" vertical="top" wrapText="1"/>
    </xf>
    <xf numFmtId="183" fontId="3" fillId="0" borderId="0" xfId="0" applyNumberFormat="1" applyFont="1" applyAlignment="1">
      <alignment vertical="top" wrapText="1" shrinkToFit="1"/>
    </xf>
    <xf numFmtId="183" fontId="0" fillId="0" borderId="0" xfId="0" applyNumberFormat="1" applyAlignment="1">
      <alignment vertical="center" wrapText="1"/>
    </xf>
    <xf numFmtId="183" fontId="3" fillId="0" borderId="0" xfId="0" applyNumberFormat="1" applyFont="1" applyAlignment="1">
      <alignment horizontal="left" vertical="center" wrapText="1"/>
    </xf>
    <xf numFmtId="0" fontId="0" fillId="0" borderId="0" xfId="0" applyAlignment="1">
      <alignment vertical="center" shrinkToFit="1"/>
    </xf>
    <xf numFmtId="0" fontId="20" fillId="0" borderId="30" xfId="0" applyFont="1" applyBorder="1" applyAlignment="1" applyProtection="1">
      <alignment horizontal="center" vertical="center" shrinkToFit="1"/>
      <protection locked="0"/>
    </xf>
    <xf numFmtId="0" fontId="71" fillId="0" borderId="31" xfId="0" applyFont="1" applyBorder="1" applyAlignment="1" applyProtection="1">
      <alignment horizontal="center" vertical="center" shrinkToFit="1"/>
      <protection locked="0"/>
    </xf>
    <xf numFmtId="0" fontId="71" fillId="0" borderId="32" xfId="0" applyFont="1" applyBorder="1" applyAlignment="1" applyProtection="1">
      <alignment horizontal="center" vertical="center" shrinkToFit="1"/>
      <protection locked="0"/>
    </xf>
    <xf numFmtId="0" fontId="0" fillId="2" borderId="62" xfId="0" applyFill="1" applyBorder="1" applyAlignment="1">
      <alignment vertical="center" wrapText="1"/>
    </xf>
    <xf numFmtId="0" fontId="9" fillId="0" borderId="0" xfId="0" applyFont="1" applyAlignment="1">
      <alignment horizontal="left" vertical="center"/>
    </xf>
    <xf numFmtId="0" fontId="2" fillId="0" borderId="5"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46" fillId="0" borderId="0" xfId="0" applyFont="1" applyAlignment="1">
      <alignment vertical="center" wrapText="1"/>
    </xf>
    <xf numFmtId="0" fontId="0" fillId="0" borderId="0" xfId="0" applyAlignment="1">
      <alignment vertical="center" wrapText="1"/>
    </xf>
    <xf numFmtId="0" fontId="25" fillId="0" borderId="10" xfId="0" applyFont="1" applyBorder="1" applyAlignment="1">
      <alignment horizontal="left" vertical="center" wrapText="1"/>
    </xf>
    <xf numFmtId="0" fontId="25" fillId="0" borderId="16" xfId="0" applyFont="1" applyBorder="1" applyAlignment="1">
      <alignment horizontal="left" vertical="center"/>
    </xf>
    <xf numFmtId="0" fontId="25" fillId="0" borderId="11" xfId="0" applyFont="1" applyBorder="1" applyAlignment="1">
      <alignment horizontal="left"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5" fillId="0" borderId="0" xfId="0" applyFont="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3" fillId="2" borderId="14"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7"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9" xfId="0" applyFont="1" applyFill="1" applyBorder="1" applyAlignment="1">
      <alignment horizontal="center" vertical="center" wrapText="1"/>
    </xf>
    <xf numFmtId="179" fontId="3" fillId="0" borderId="0" xfId="0" applyNumberFormat="1" applyFont="1">
      <alignment vertical="center"/>
    </xf>
    <xf numFmtId="179" fontId="14" fillId="0" borderId="0" xfId="0" applyNumberFormat="1" applyFont="1">
      <alignment vertical="center"/>
    </xf>
    <xf numFmtId="0" fontId="15" fillId="0" borderId="2" xfId="0"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176" fontId="3" fillId="0" borderId="5" xfId="0" applyNumberFormat="1" applyFont="1" applyBorder="1" applyAlignment="1" applyProtection="1">
      <alignment vertical="center" shrinkToFit="1"/>
      <protection locked="0"/>
    </xf>
    <xf numFmtId="176" fontId="14" fillId="0" borderId="14" xfId="0" applyNumberFormat="1" applyFont="1" applyBorder="1" applyAlignment="1" applyProtection="1">
      <alignment vertical="center" shrinkToFit="1"/>
      <protection locked="0"/>
    </xf>
    <xf numFmtId="0" fontId="6" fillId="0" borderId="8" xfId="0" applyFont="1" applyBorder="1" applyAlignment="1">
      <alignment horizontal="center" vertical="center" wrapText="1"/>
    </xf>
    <xf numFmtId="0" fontId="2" fillId="2" borderId="10" xfId="0" applyFont="1" applyFill="1" applyBorder="1" applyAlignment="1">
      <alignment horizontal="center" vertical="center" shrinkToFit="1"/>
    </xf>
    <xf numFmtId="0" fontId="0" fillId="2" borderId="16" xfId="0" applyFill="1" applyBorder="1" applyAlignment="1">
      <alignment horizontal="center" vertical="center" shrinkToFit="1"/>
    </xf>
    <xf numFmtId="0" fontId="0" fillId="0" borderId="11" xfId="0" applyBorder="1" applyAlignment="1">
      <alignment vertical="center" shrinkToFit="1"/>
    </xf>
    <xf numFmtId="0" fontId="3" fillId="0" borderId="80" xfId="0" applyFont="1" applyBorder="1" applyAlignment="1" applyProtection="1">
      <alignment vertical="center" shrinkToFit="1"/>
      <protection locked="0"/>
    </xf>
    <xf numFmtId="0" fontId="0" fillId="0" borderId="18" xfId="0" applyBorder="1" applyAlignment="1" applyProtection="1">
      <alignment vertical="center" shrinkToFit="1"/>
      <protection locked="0"/>
    </xf>
    <xf numFmtId="0" fontId="0" fillId="0" borderId="52" xfId="0" applyBorder="1" applyAlignment="1" applyProtection="1">
      <alignment vertical="center" shrinkToFit="1"/>
      <protection locked="0"/>
    </xf>
    <xf numFmtId="0" fontId="5" fillId="0" borderId="81" xfId="0" applyFont="1" applyBorder="1" applyAlignment="1" applyProtection="1">
      <alignment vertical="center" shrinkToFit="1"/>
      <protection locked="0"/>
    </xf>
    <xf numFmtId="0" fontId="12" fillId="0" borderId="82" xfId="0" applyFont="1" applyBorder="1" applyAlignment="1" applyProtection="1">
      <alignment vertical="center" shrinkToFit="1"/>
      <protection locked="0"/>
    </xf>
    <xf numFmtId="0" fontId="12" fillId="0" borderId="55" xfId="0" applyFont="1" applyBorder="1" applyAlignment="1" applyProtection="1">
      <alignment vertical="center" shrinkToFit="1"/>
      <protection locked="0"/>
    </xf>
    <xf numFmtId="176" fontId="5" fillId="0" borderId="10" xfId="0" applyNumberFormat="1" applyFont="1" applyBorder="1" applyAlignment="1" applyProtection="1">
      <alignment horizontal="right" vertical="center" shrinkToFit="1"/>
      <protection locked="0"/>
    </xf>
    <xf numFmtId="176" fontId="12" fillId="0" borderId="16" xfId="0" applyNumberFormat="1" applyFont="1" applyBorder="1" applyAlignment="1" applyProtection="1">
      <alignment horizontal="right" vertical="center" shrinkToFit="1"/>
      <protection locked="0"/>
    </xf>
    <xf numFmtId="0" fontId="6" fillId="0" borderId="10" xfId="0" applyFont="1" applyBorder="1" applyAlignment="1" applyProtection="1">
      <alignment horizontal="left" vertical="center" wrapText="1" shrinkToFit="1"/>
      <protection locked="0"/>
    </xf>
    <xf numFmtId="0" fontId="13" fillId="0" borderId="16" xfId="0" applyFont="1" applyBorder="1" applyAlignment="1" applyProtection="1">
      <alignment horizontal="left" vertical="center" wrapText="1" shrinkToFit="1"/>
      <protection locked="0"/>
    </xf>
    <xf numFmtId="0" fontId="13" fillId="0" borderId="11" xfId="0" applyFont="1" applyBorder="1" applyAlignment="1" applyProtection="1">
      <alignment horizontal="left" vertical="center" wrapText="1" shrinkToFit="1"/>
      <protection locked="0"/>
    </xf>
    <xf numFmtId="0" fontId="3" fillId="2" borderId="10" xfId="0" applyFont="1" applyFill="1" applyBorder="1" applyAlignment="1">
      <alignment horizontal="center" vertical="center" wrapText="1"/>
    </xf>
    <xf numFmtId="0" fontId="14" fillId="0" borderId="16" xfId="0" applyFont="1" applyBorder="1" applyAlignment="1">
      <alignment horizontal="center" vertical="center" wrapText="1"/>
    </xf>
    <xf numFmtId="0" fontId="14" fillId="0" borderId="11" xfId="0" applyFont="1" applyBorder="1" applyAlignment="1">
      <alignment horizontal="center" vertical="center" wrapText="1"/>
    </xf>
    <xf numFmtId="0" fontId="5" fillId="0" borderId="33" xfId="0" applyFont="1" applyBorder="1" applyAlignment="1">
      <alignment horizontal="center" vertical="center"/>
    </xf>
    <xf numFmtId="0" fontId="12" fillId="0" borderId="35"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0" fillId="0" borderId="9" xfId="0" applyBorder="1" applyAlignment="1">
      <alignment vertical="center" wrapText="1"/>
    </xf>
    <xf numFmtId="180" fontId="5" fillId="0" borderId="10" xfId="0" applyNumberFormat="1" applyFont="1" applyBorder="1" applyAlignment="1" applyProtection="1">
      <alignment horizontal="right" vertical="center" shrinkToFit="1"/>
      <protection locked="0"/>
    </xf>
    <xf numFmtId="180" fontId="5" fillId="0" borderId="16" xfId="0" applyNumberFormat="1" applyFont="1" applyBorder="1" applyAlignment="1" applyProtection="1">
      <alignment horizontal="right" vertical="center" shrinkToFit="1"/>
      <protection locked="0"/>
    </xf>
    <xf numFmtId="180" fontId="12" fillId="0" borderId="16" xfId="0" applyNumberFormat="1" applyFont="1" applyBorder="1" applyAlignment="1" applyProtection="1">
      <alignment horizontal="right" vertical="center" shrinkToFit="1"/>
      <protection locked="0"/>
    </xf>
    <xf numFmtId="0" fontId="0" fillId="0" borderId="14" xfId="0" applyBorder="1" applyAlignment="1" applyProtection="1">
      <alignment horizontal="right" vertical="center" shrinkToFit="1"/>
      <protection locked="0"/>
    </xf>
    <xf numFmtId="0" fontId="0" fillId="0" borderId="0" xfId="0" applyAlignment="1" applyProtection="1">
      <alignment horizontal="right" vertical="center" shrinkToFit="1"/>
      <protection locked="0"/>
    </xf>
    <xf numFmtId="0" fontId="5" fillId="0" borderId="0" xfId="0" applyFont="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5" fillId="0" borderId="0" xfId="0" applyFont="1" applyBorder="1" applyAlignment="1" applyProtection="1">
      <alignment vertical="center" shrinkToFit="1"/>
      <protection locked="0"/>
    </xf>
    <xf numFmtId="0" fontId="0" fillId="0" borderId="0" xfId="0" applyBorder="1" applyAlignment="1" applyProtection="1">
      <alignment vertical="center" shrinkToFit="1"/>
      <protection locked="0"/>
    </xf>
    <xf numFmtId="0" fontId="3" fillId="0" borderId="6" xfId="0" applyFont="1" applyBorder="1" applyAlignment="1" applyProtection="1">
      <alignment horizontal="right" vertical="center" shrinkToFit="1"/>
      <protection locked="0"/>
    </xf>
    <xf numFmtId="0" fontId="3" fillId="0" borderId="0" xfId="0" applyFont="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14" xfId="0" applyFont="1" applyBorder="1" applyProtection="1">
      <alignment vertical="center"/>
      <protection locked="0"/>
    </xf>
    <xf numFmtId="0" fontId="14" fillId="0" borderId="14" xfId="0" applyFont="1" applyBorder="1" applyProtection="1">
      <alignment vertical="center"/>
      <protection locked="0"/>
    </xf>
    <xf numFmtId="0" fontId="6" fillId="0" borderId="0" xfId="0" applyFont="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5" fillId="0" borderId="18" xfId="0" applyFont="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5" fillId="2" borderId="10" xfId="0" applyFont="1" applyFill="1" applyBorder="1" applyAlignment="1">
      <alignment vertical="center" wrapText="1"/>
    </xf>
    <xf numFmtId="0" fontId="5" fillId="2" borderId="5" xfId="0" applyFont="1" applyFill="1" applyBorder="1" applyAlignment="1">
      <alignment vertical="center" wrapText="1"/>
    </xf>
    <xf numFmtId="0" fontId="12" fillId="2" borderId="14" xfId="0" applyFont="1" applyFill="1" applyBorder="1" applyAlignment="1">
      <alignment vertical="center" wrapText="1"/>
    </xf>
    <xf numFmtId="0" fontId="0" fillId="0" borderId="3" xfId="0" applyBorder="1" applyAlignment="1">
      <alignment vertical="center" wrapText="1"/>
    </xf>
    <xf numFmtId="0" fontId="12" fillId="2" borderId="8" xfId="0" applyFont="1" applyFill="1" applyBorder="1" applyAlignment="1">
      <alignment vertical="center" wrapText="1"/>
    </xf>
    <xf numFmtId="0" fontId="12" fillId="2" borderId="2" xfId="0" applyFont="1" applyFill="1" applyBorder="1" applyAlignment="1">
      <alignment vertical="center" wrapText="1"/>
    </xf>
    <xf numFmtId="0" fontId="3" fillId="0" borderId="10" xfId="0" applyFont="1" applyBorder="1" applyAlignment="1" applyProtection="1">
      <alignment vertical="center" wrapText="1" shrinkToFit="1"/>
      <protection locked="0"/>
    </xf>
    <xf numFmtId="0" fontId="14" fillId="0" borderId="16" xfId="0" applyFont="1" applyBorder="1" applyAlignment="1" applyProtection="1">
      <alignment vertical="center" wrapText="1" shrinkToFit="1"/>
      <protection locked="0"/>
    </xf>
    <xf numFmtId="0" fontId="14" fillId="0" borderId="11" xfId="0" applyFont="1" applyBorder="1" applyAlignment="1" applyProtection="1">
      <alignment vertical="center" wrapText="1"/>
      <protection locked="0"/>
    </xf>
    <xf numFmtId="0" fontId="5" fillId="0" borderId="4" xfId="0" applyFont="1" applyBorder="1" applyAlignment="1">
      <alignment horizontal="center" vertical="center" wrapText="1"/>
    </xf>
    <xf numFmtId="0" fontId="3" fillId="0" borderId="8" xfId="0" applyFont="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9" xfId="0" applyBorder="1" applyAlignment="1" applyProtection="1">
      <alignment vertical="center" wrapText="1"/>
      <protection locked="0"/>
    </xf>
    <xf numFmtId="0" fontId="5" fillId="0" borderId="0" xfId="0" applyFont="1" applyAlignment="1">
      <alignment vertical="center" shrinkToFit="1"/>
    </xf>
    <xf numFmtId="0" fontId="12" fillId="0" borderId="0" xfId="0" applyFont="1" applyAlignment="1">
      <alignment vertical="center" shrinkToFit="1"/>
    </xf>
    <xf numFmtId="0" fontId="6" fillId="0" borderId="10" xfId="0" applyFont="1" applyBorder="1" applyAlignment="1" applyProtection="1">
      <alignment vertical="center" wrapText="1" shrinkToFit="1"/>
      <protection locked="0"/>
    </xf>
    <xf numFmtId="0" fontId="13" fillId="0" borderId="16" xfId="0" applyFont="1" applyBorder="1" applyAlignment="1" applyProtection="1">
      <alignment vertical="center" wrapText="1" shrinkToFit="1"/>
      <protection locked="0"/>
    </xf>
    <xf numFmtId="0" fontId="13" fillId="0" borderId="11" xfId="0" applyFont="1" applyBorder="1" applyAlignment="1" applyProtection="1">
      <alignment vertical="center" wrapText="1" shrinkToFit="1"/>
      <protection locked="0"/>
    </xf>
    <xf numFmtId="0" fontId="5" fillId="0" borderId="14"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3" fillId="0" borderId="10" xfId="0" applyFont="1" applyBorder="1" applyAlignment="1" applyProtection="1">
      <alignment vertical="center" wrapText="1"/>
      <protection locked="0"/>
    </xf>
    <xf numFmtId="0" fontId="14" fillId="0" borderId="16" xfId="0" applyFont="1" applyBorder="1" applyAlignment="1" applyProtection="1">
      <alignment vertical="center" wrapText="1"/>
      <protection locked="0"/>
    </xf>
    <xf numFmtId="0" fontId="2" fillId="2" borderId="10" xfId="0" applyFont="1" applyFill="1" applyBorder="1" applyAlignment="1">
      <alignment horizontal="center" vertical="center" wrapText="1" shrinkToFit="1"/>
    </xf>
    <xf numFmtId="0" fontId="0" fillId="0" borderId="11" xfId="0" applyBorder="1" applyAlignment="1">
      <alignment horizontal="center" vertical="center" wrapText="1" shrinkToFit="1"/>
    </xf>
    <xf numFmtId="0" fontId="3" fillId="0" borderId="12" xfId="0" applyFont="1" applyBorder="1">
      <alignment vertical="center"/>
    </xf>
    <xf numFmtId="0" fontId="3" fillId="0" borderId="15" xfId="0" applyFont="1" applyBorder="1">
      <alignment vertical="center"/>
    </xf>
    <xf numFmtId="0" fontId="0" fillId="0" borderId="13" xfId="0" applyBorder="1">
      <alignment vertical="center"/>
    </xf>
    <xf numFmtId="0" fontId="21" fillId="0" borderId="12" xfId="0" applyFont="1" applyBorder="1">
      <alignment vertical="center"/>
    </xf>
    <xf numFmtId="0" fontId="21" fillId="0" borderId="15" xfId="0" applyFont="1" applyBorder="1">
      <alignment vertical="center"/>
    </xf>
    <xf numFmtId="0" fontId="71" fillId="0" borderId="13" xfId="0" applyFont="1" applyBorder="1">
      <alignment vertical="center"/>
    </xf>
    <xf numFmtId="0" fontId="2" fillId="0" borderId="10" xfId="0" applyFont="1" applyBorder="1" applyAlignment="1" applyProtection="1">
      <alignment vertical="center" shrinkToFit="1"/>
      <protection locked="0"/>
    </xf>
    <xf numFmtId="0" fontId="111" fillId="0" borderId="0" xfId="0" applyFont="1" applyAlignment="1">
      <alignment horizontal="left" vertical="center" wrapText="1"/>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5" fillId="0" borderId="10" xfId="0" applyFont="1" applyBorder="1" applyAlignment="1" applyProtection="1">
      <alignment vertical="center" shrinkToFit="1"/>
      <protection locked="0"/>
    </xf>
    <xf numFmtId="0" fontId="5" fillId="0" borderId="11" xfId="0" applyFont="1" applyBorder="1" applyAlignment="1" applyProtection="1">
      <alignment vertical="center" shrinkToFit="1"/>
      <protection locked="0"/>
    </xf>
    <xf numFmtId="0" fontId="20" fillId="0" borderId="5"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9" xfId="0" applyFont="1" applyBorder="1" applyAlignment="1">
      <alignment horizontal="center" vertical="center" wrapText="1"/>
    </xf>
    <xf numFmtId="0" fontId="21" fillId="0" borderId="10" xfId="0" applyFont="1" applyBorder="1" applyAlignment="1">
      <alignment horizontal="center" vertical="center"/>
    </xf>
    <xf numFmtId="0" fontId="21" fillId="0" borderId="16" xfId="0" applyFont="1" applyBorder="1" applyAlignment="1">
      <alignment horizontal="center" vertical="center"/>
    </xf>
    <xf numFmtId="0" fontId="21" fillId="0" borderId="11" xfId="0" applyFont="1" applyBorder="1" applyAlignment="1">
      <alignment horizontal="center" vertical="center"/>
    </xf>
    <xf numFmtId="0" fontId="2" fillId="0" borderId="2" xfId="0" applyFont="1" applyBorder="1" applyAlignment="1" applyProtection="1">
      <alignment vertical="center" shrinkToFit="1"/>
      <protection locked="0"/>
    </xf>
    <xf numFmtId="0" fontId="2" fillId="0" borderId="0" xfId="0" applyFont="1" applyAlignment="1" applyProtection="1">
      <alignment vertical="center" shrinkToFit="1"/>
      <protection locked="0"/>
    </xf>
    <xf numFmtId="0" fontId="2" fillId="0" borderId="2" xfId="0" applyFont="1" applyBorder="1" applyAlignment="1">
      <alignment vertical="center" shrinkToFit="1"/>
    </xf>
    <xf numFmtId="0" fontId="0" fillId="0" borderId="2" xfId="0" applyBorder="1" applyAlignment="1">
      <alignment vertical="center" shrinkToFit="1"/>
    </xf>
    <xf numFmtId="0" fontId="2" fillId="0" borderId="2" xfId="0" applyFont="1" applyBorder="1">
      <alignment vertical="center"/>
    </xf>
    <xf numFmtId="0" fontId="0" fillId="0" borderId="2" xfId="0" applyBorder="1">
      <alignment vertical="center"/>
    </xf>
    <xf numFmtId="0" fontId="87" fillId="0" borderId="2" xfId="0" applyFont="1" applyBorder="1" applyAlignment="1">
      <alignment horizontal="right" vertical="top" shrinkToFit="1"/>
    </xf>
    <xf numFmtId="0" fontId="2" fillId="0" borderId="0" xfId="0" applyFont="1" applyAlignment="1">
      <alignment vertical="center" wrapText="1"/>
    </xf>
    <xf numFmtId="0" fontId="6" fillId="0" borderId="0" xfId="0" applyFont="1" applyAlignment="1">
      <alignment vertical="center" shrinkToFit="1"/>
    </xf>
    <xf numFmtId="0" fontId="13" fillId="0" borderId="0" xfId="0" applyFont="1" applyAlignment="1">
      <alignment vertical="center" shrinkToFit="1"/>
    </xf>
    <xf numFmtId="0" fontId="3" fillId="0" borderId="4" xfId="0" applyFont="1" applyBorder="1" applyAlignment="1">
      <alignment horizontal="center" vertical="center"/>
    </xf>
    <xf numFmtId="0" fontId="111" fillId="0" borderId="0" xfId="0" applyFont="1" applyAlignment="1">
      <alignment wrapText="1"/>
    </xf>
    <xf numFmtId="0" fontId="111" fillId="0" borderId="0" xfId="0" applyFont="1" applyAlignment="1"/>
    <xf numFmtId="0" fontId="111" fillId="0" borderId="0" xfId="0" applyFont="1" applyAlignment="1">
      <alignment vertical="center" wrapText="1"/>
    </xf>
    <xf numFmtId="0" fontId="0" fillId="0" borderId="9" xfId="0" applyBorder="1" applyAlignment="1">
      <alignment horizontal="center" vertical="center" wrapText="1"/>
    </xf>
    <xf numFmtId="0" fontId="5" fillId="0" borderId="0" xfId="0" applyFont="1" applyAlignment="1" applyProtection="1">
      <alignment horizontal="right" vertical="center" wrapText="1"/>
      <protection locked="0"/>
    </xf>
    <xf numFmtId="0" fontId="2" fillId="0" borderId="0" xfId="0" applyFont="1" applyAlignment="1" applyProtection="1">
      <alignment horizontal="right" vertical="center" wrapText="1"/>
      <protection locked="0"/>
    </xf>
    <xf numFmtId="0" fontId="5"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5" fillId="0" borderId="0" xfId="0" applyFont="1" applyAlignment="1" applyProtection="1">
      <alignment vertical="center" wrapText="1"/>
      <protection locked="0"/>
    </xf>
    <xf numFmtId="0" fontId="2" fillId="0" borderId="0" xfId="0" applyFont="1" applyAlignment="1" applyProtection="1">
      <alignment vertical="center" wrapText="1"/>
      <protection locked="0"/>
    </xf>
    <xf numFmtId="0" fontId="5" fillId="0" borderId="2" xfId="0" applyFont="1" applyBorder="1" applyAlignment="1">
      <alignment horizontal="center" vertical="center" shrinkToFit="1"/>
    </xf>
    <xf numFmtId="0" fontId="12" fillId="0" borderId="2" xfId="0" applyFont="1" applyBorder="1" applyAlignment="1">
      <alignment horizontal="center" vertical="center" shrinkToFit="1"/>
    </xf>
    <xf numFmtId="0" fontId="3" fillId="0" borderId="14" xfId="0" applyFont="1" applyBorder="1" applyAlignment="1" applyProtection="1">
      <alignment horizontal="left" vertical="center"/>
      <protection locked="0"/>
    </xf>
    <xf numFmtId="0" fontId="14" fillId="0" borderId="14" xfId="0" applyFont="1" applyBorder="1" applyAlignment="1" applyProtection="1">
      <alignment horizontal="left" vertical="center"/>
      <protection locked="0"/>
    </xf>
    <xf numFmtId="0" fontId="108" fillId="0" borderId="0" xfId="0" applyFont="1" applyAlignment="1">
      <alignment horizontal="right" vertical="center"/>
    </xf>
    <xf numFmtId="0" fontId="125" fillId="3" borderId="0" xfId="0" applyFont="1" applyFill="1" applyAlignment="1">
      <alignment vertical="center" wrapText="1"/>
    </xf>
    <xf numFmtId="38" fontId="2" fillId="0" borderId="4" xfId="3" applyFont="1" applyBorder="1" applyAlignment="1">
      <alignment horizontal="center" vertical="center"/>
    </xf>
    <xf numFmtId="38" fontId="2" fillId="0" borderId="10" xfId="3" applyFont="1" applyBorder="1" applyAlignment="1">
      <alignment horizontal="center" vertical="center"/>
    </xf>
    <xf numFmtId="0" fontId="5" fillId="2" borderId="10"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2" fillId="2" borderId="4" xfId="0" applyFont="1" applyFill="1" applyBorder="1" applyAlignment="1">
      <alignment horizontal="center" vertical="center"/>
    </xf>
    <xf numFmtId="0" fontId="25" fillId="0" borderId="4" xfId="0" applyFont="1" applyBorder="1" applyAlignment="1" applyProtection="1">
      <alignment vertical="center" shrinkToFit="1"/>
      <protection locked="0"/>
    </xf>
    <xf numFmtId="0" fontId="25" fillId="0" borderId="4" xfId="0" applyFont="1" applyBorder="1" applyAlignment="1" applyProtection="1">
      <alignment horizontal="left" vertical="center" wrapText="1"/>
      <protection locked="0"/>
    </xf>
    <xf numFmtId="0" fontId="25" fillId="0" borderId="4" xfId="0" applyFont="1" applyBorder="1" applyAlignment="1" applyProtection="1">
      <alignment horizontal="center" vertical="center" wrapText="1"/>
      <protection locked="0"/>
    </xf>
    <xf numFmtId="180" fontId="5" fillId="0" borderId="4" xfId="0" applyNumberFormat="1" applyFont="1" applyBorder="1" applyAlignment="1" applyProtection="1">
      <alignment horizontal="right" vertical="center" shrinkToFit="1"/>
      <protection locked="0"/>
    </xf>
    <xf numFmtId="180" fontId="12" fillId="0" borderId="4" xfId="0" applyNumberFormat="1" applyFont="1" applyBorder="1" applyAlignment="1" applyProtection="1">
      <alignment horizontal="right" vertical="center" shrinkToFit="1"/>
      <protection locked="0"/>
    </xf>
    <xf numFmtId="177" fontId="5" fillId="0" borderId="4" xfId="0" applyNumberFormat="1" applyFont="1" applyBorder="1" applyAlignment="1">
      <alignment horizontal="right" vertical="center" wrapText="1"/>
    </xf>
    <xf numFmtId="0" fontId="5" fillId="0" borderId="4"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9" fillId="0" borderId="2" xfId="0" applyFont="1" applyBorder="1" applyAlignment="1">
      <alignment horizontal="left" vertical="center"/>
    </xf>
    <xf numFmtId="0" fontId="30" fillId="0" borderId="5" xfId="0" applyFont="1" applyBorder="1" applyAlignment="1" applyProtection="1">
      <alignment horizontal="center" vertical="center" wrapText="1"/>
      <protection locked="0"/>
    </xf>
    <xf numFmtId="0" fontId="30" fillId="0" borderId="14"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7" fillId="0" borderId="14" xfId="0" applyFont="1" applyBorder="1" applyAlignment="1">
      <alignment horizontal="center" vertical="center" wrapText="1"/>
    </xf>
    <xf numFmtId="0" fontId="7" fillId="0" borderId="2" xfId="0" applyFont="1" applyBorder="1" applyAlignment="1">
      <alignment horizontal="center" vertical="center"/>
    </xf>
    <xf numFmtId="180" fontId="5" fillId="0" borderId="16" xfId="0" applyNumberFormat="1" applyFont="1" applyBorder="1" applyAlignment="1">
      <alignment horizontal="center" vertical="center" shrinkToFit="1"/>
    </xf>
    <xf numFmtId="0" fontId="2" fillId="2" borderId="16" xfId="0" applyFont="1" applyFill="1" applyBorder="1" applyAlignment="1">
      <alignment horizontal="center" vertical="center" wrapText="1"/>
    </xf>
    <xf numFmtId="0" fontId="165" fillId="0" borderId="4" xfId="0" applyFont="1" applyBorder="1" applyAlignment="1">
      <alignment horizontal="left" vertical="center" wrapText="1"/>
    </xf>
    <xf numFmtId="0" fontId="3" fillId="0" borderId="4" xfId="0" applyFont="1" applyBorder="1" applyAlignment="1" applyProtection="1">
      <alignment horizontal="left" vertical="center" wrapText="1"/>
      <protection locked="0"/>
    </xf>
    <xf numFmtId="3" fontId="3" fillId="0" borderId="4" xfId="0" applyNumberFormat="1" applyFont="1" applyBorder="1" applyAlignment="1" applyProtection="1">
      <alignment horizontal="right" vertical="center" wrapText="1"/>
      <protection locked="0"/>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4" xfId="0" applyFont="1" applyBorder="1" applyAlignment="1" applyProtection="1">
      <alignment vertical="center" wrapText="1"/>
      <protection locked="0"/>
    </xf>
    <xf numFmtId="0" fontId="3" fillId="0" borderId="26" xfId="0" applyFont="1" applyBorder="1" applyAlignment="1" applyProtection="1">
      <alignment vertical="center" wrapText="1"/>
      <protection locked="0"/>
    </xf>
    <xf numFmtId="0" fontId="21" fillId="0" borderId="4" xfId="0" applyFont="1" applyBorder="1" applyAlignment="1" applyProtection="1">
      <alignment horizontal="center" vertical="center" wrapText="1"/>
      <protection locked="0"/>
    </xf>
    <xf numFmtId="0" fontId="6" fillId="0" borderId="10"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1" xfId="0" applyFont="1" applyBorder="1" applyAlignment="1">
      <alignment horizontal="center" vertical="center" shrinkToFit="1"/>
    </xf>
    <xf numFmtId="184" fontId="6" fillId="0" borderId="10" xfId="0" applyNumberFormat="1" applyFont="1" applyBorder="1" applyAlignment="1">
      <alignment horizontal="center" vertical="center" shrinkToFit="1"/>
    </xf>
    <xf numFmtId="184" fontId="6" fillId="0" borderId="16" xfId="0" applyNumberFormat="1" applyFont="1" applyBorder="1" applyAlignment="1">
      <alignment horizontal="center" vertical="center" shrinkToFit="1"/>
    </xf>
    <xf numFmtId="184" fontId="6" fillId="0" borderId="11" xfId="0" applyNumberFormat="1" applyFont="1" applyBorder="1" applyAlignment="1">
      <alignment horizontal="center" vertical="center" shrinkToFit="1"/>
    </xf>
    <xf numFmtId="0" fontId="2" fillId="2" borderId="1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56" fontId="3" fillId="0" borderId="4" xfId="0" applyNumberFormat="1" applyFont="1" applyBorder="1" applyAlignment="1" applyProtection="1">
      <alignment horizontal="left" vertical="center" wrapText="1"/>
      <protection locked="0"/>
    </xf>
    <xf numFmtId="178" fontId="3" fillId="0" borderId="4" xfId="0" applyNumberFormat="1" applyFont="1" applyBorder="1" applyAlignment="1" applyProtection="1">
      <alignment horizontal="center" vertical="center" wrapText="1"/>
      <protection locked="0"/>
    </xf>
    <xf numFmtId="3" fontId="3" fillId="0" borderId="4" xfId="0" applyNumberFormat="1" applyFont="1" applyBorder="1" applyAlignment="1">
      <alignment horizontal="right" vertical="center" wrapText="1"/>
    </xf>
    <xf numFmtId="0" fontId="3" fillId="0" borderId="4" xfId="0" applyFont="1" applyBorder="1" applyAlignment="1" applyProtection="1">
      <alignment horizontal="center" vertical="center" wrapText="1"/>
      <protection locked="0"/>
    </xf>
    <xf numFmtId="0" fontId="2" fillId="0" borderId="78" xfId="0" applyFont="1" applyBorder="1" applyAlignment="1">
      <alignment horizontal="center" vertical="center" wrapText="1"/>
    </xf>
    <xf numFmtId="0" fontId="0" fillId="0" borderId="1" xfId="0" applyBorder="1" applyAlignment="1">
      <alignment horizontal="center" vertical="center" wrapText="1"/>
    </xf>
    <xf numFmtId="0" fontId="0" fillId="0" borderId="76" xfId="0" applyBorder="1" applyAlignment="1">
      <alignment horizontal="center" vertical="center" wrapText="1"/>
    </xf>
    <xf numFmtId="0" fontId="0" fillId="0" borderId="79" xfId="0" applyBorder="1" applyAlignment="1">
      <alignment horizontal="center" vertical="center" wrapText="1"/>
    </xf>
    <xf numFmtId="0" fontId="0" fillId="0" borderId="77" xfId="0" applyBorder="1" applyAlignment="1">
      <alignment horizontal="center" vertical="center" wrapText="1"/>
    </xf>
    <xf numFmtId="0" fontId="33" fillId="2" borderId="20" xfId="0" applyFont="1" applyFill="1" applyBorder="1" applyAlignment="1">
      <alignment vertical="center" wrapText="1"/>
    </xf>
    <xf numFmtId="0" fontId="2" fillId="2" borderId="21" xfId="0" applyFont="1" applyFill="1" applyBorder="1" applyAlignment="1">
      <alignment vertical="center" wrapText="1"/>
    </xf>
    <xf numFmtId="0" fontId="2" fillId="2" borderId="22" xfId="0" applyFont="1" applyFill="1" applyBorder="1" applyAlignment="1">
      <alignment vertical="center" wrapText="1"/>
    </xf>
    <xf numFmtId="0" fontId="2" fillId="2" borderId="59" xfId="0" applyFont="1" applyFill="1" applyBorder="1" applyAlignment="1">
      <alignment vertical="center" wrapText="1"/>
    </xf>
    <xf numFmtId="0" fontId="2" fillId="2" borderId="60" xfId="0" applyFont="1" applyFill="1" applyBorder="1" applyAlignment="1">
      <alignment vertical="center" wrapText="1"/>
    </xf>
    <xf numFmtId="0" fontId="2" fillId="2" borderId="61"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25" xfId="0" applyFont="1" applyFill="1" applyBorder="1" applyAlignment="1">
      <alignment vertical="center" wrapText="1"/>
    </xf>
    <xf numFmtId="3" fontId="5" fillId="0" borderId="5" xfId="0" applyNumberFormat="1" applyFont="1" applyBorder="1" applyAlignment="1">
      <alignment horizontal="right" vertical="center" wrapText="1"/>
    </xf>
    <xf numFmtId="0" fontId="12" fillId="0" borderId="14" xfId="0" applyFont="1" applyBorder="1" applyAlignment="1">
      <alignment horizontal="right" vertical="center" wrapText="1"/>
    </xf>
    <xf numFmtId="0" fontId="12" fillId="0" borderId="8" xfId="0" applyFont="1" applyBorder="1" applyAlignment="1">
      <alignment horizontal="right" vertical="center" wrapText="1"/>
    </xf>
    <xf numFmtId="0" fontId="12" fillId="0" borderId="2" xfId="0" applyFont="1" applyBorder="1" applyAlignment="1">
      <alignment horizontal="right" vertical="center" wrapText="1"/>
    </xf>
    <xf numFmtId="3" fontId="5" fillId="0" borderId="5" xfId="0" applyNumberFormat="1" applyFont="1" applyBorder="1" applyAlignment="1">
      <alignment horizontal="center" vertical="center"/>
    </xf>
    <xf numFmtId="0" fontId="12" fillId="0" borderId="14" xfId="0" applyFont="1" applyBorder="1" applyAlignment="1">
      <alignment horizontal="center" vertical="center"/>
    </xf>
    <xf numFmtId="0" fontId="12" fillId="0" borderId="3" xfId="0" applyFont="1" applyBorder="1" applyAlignment="1">
      <alignment horizontal="center" vertical="center"/>
    </xf>
    <xf numFmtId="0" fontId="12" fillId="0" borderId="8" xfId="0" applyFont="1" applyBorder="1" applyAlignment="1">
      <alignment horizontal="center" vertical="center"/>
    </xf>
    <xf numFmtId="0" fontId="12" fillId="0" borderId="2" xfId="0" applyFont="1" applyBorder="1" applyAlignment="1">
      <alignment horizontal="center" vertical="center"/>
    </xf>
    <xf numFmtId="0" fontId="12" fillId="0" borderId="9"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12" fillId="0" borderId="16" xfId="0" applyFont="1" applyBorder="1" applyAlignment="1">
      <alignment horizontal="center" vertical="center"/>
    </xf>
    <xf numFmtId="0" fontId="12" fillId="0" borderId="11" xfId="0" applyFont="1" applyBorder="1" applyAlignment="1">
      <alignment horizontal="center" vertical="center"/>
    </xf>
    <xf numFmtId="3" fontId="5" fillId="0" borderId="5" xfId="0" applyNumberFormat="1" applyFont="1" applyBorder="1" applyAlignment="1">
      <alignment horizontal="right" vertical="center"/>
    </xf>
    <xf numFmtId="0" fontId="12" fillId="0" borderId="14" xfId="0" applyFont="1" applyBorder="1" applyAlignment="1">
      <alignment horizontal="right" vertical="center"/>
    </xf>
    <xf numFmtId="3" fontId="5" fillId="0" borderId="10" xfId="0" applyNumberFormat="1" applyFont="1" applyBorder="1" applyAlignment="1">
      <alignment vertical="top"/>
    </xf>
    <xf numFmtId="0" fontId="12" fillId="0" borderId="16" xfId="0" applyFont="1" applyBorder="1" applyAlignment="1">
      <alignment vertical="top"/>
    </xf>
    <xf numFmtId="0" fontId="2" fillId="0" borderId="1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180" fontId="3" fillId="0" borderId="4" xfId="0" applyNumberFormat="1" applyFont="1" applyBorder="1" applyAlignment="1">
      <alignment horizontal="right"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3" fillId="0" borderId="10"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left" vertical="center" wrapText="1"/>
      <protection locked="0"/>
    </xf>
    <xf numFmtId="0" fontId="3" fillId="0" borderId="12" xfId="0" applyFont="1" applyBorder="1" applyAlignment="1" applyProtection="1">
      <alignment horizontal="center" vertical="center" wrapText="1"/>
      <protection locked="0"/>
    </xf>
    <xf numFmtId="0" fontId="3" fillId="0" borderId="75" xfId="0" applyFont="1" applyBorder="1" applyAlignment="1" applyProtection="1">
      <alignment vertical="center" wrapText="1"/>
      <protection locked="0"/>
    </xf>
    <xf numFmtId="176" fontId="3" fillId="0" borderId="10" xfId="0" applyNumberFormat="1" applyFont="1" applyBorder="1" applyAlignment="1" applyProtection="1">
      <alignment horizontal="right" vertical="center" wrapText="1"/>
      <protection locked="0"/>
    </xf>
    <xf numFmtId="0" fontId="0" fillId="0" borderId="16" xfId="0" applyBorder="1" applyAlignment="1">
      <alignment horizontal="right" vertical="center" wrapText="1"/>
    </xf>
    <xf numFmtId="0" fontId="0" fillId="0" borderId="11" xfId="0" applyBorder="1" applyAlignment="1">
      <alignment horizontal="right" vertical="center" wrapText="1"/>
    </xf>
    <xf numFmtId="0" fontId="15" fillId="0" borderId="1" xfId="0" applyFont="1" applyBorder="1" applyAlignment="1">
      <alignment vertical="top" wrapText="1"/>
    </xf>
    <xf numFmtId="0" fontId="132" fillId="0" borderId="1" xfId="0" applyFont="1" applyBorder="1" applyAlignment="1">
      <alignment vertical="top" wrapText="1"/>
    </xf>
    <xf numFmtId="0" fontId="132" fillId="0" borderId="0" xfId="0" applyFont="1" applyAlignment="1">
      <alignment vertical="top" wrapText="1"/>
    </xf>
    <xf numFmtId="57" fontId="3" fillId="0" borderId="10" xfId="0" applyNumberFormat="1" applyFont="1" applyBorder="1" applyAlignment="1" applyProtection="1">
      <alignment horizontal="center" vertical="center" wrapText="1"/>
      <protection locked="0"/>
    </xf>
    <xf numFmtId="0" fontId="3" fillId="0" borderId="10" xfId="0" applyFont="1" applyBorder="1" applyAlignment="1" applyProtection="1">
      <alignment horizontal="left" vertical="center" wrapText="1"/>
      <protection locked="0"/>
    </xf>
    <xf numFmtId="0" fontId="14" fillId="0" borderId="16" xfId="0" applyFont="1" applyBorder="1" applyAlignment="1">
      <alignment horizontal="left" vertical="center" wrapText="1"/>
    </xf>
    <xf numFmtId="0" fontId="14" fillId="0" borderId="11" xfId="0" applyFont="1" applyBorder="1" applyAlignment="1">
      <alignment horizontal="left" vertical="center" wrapText="1"/>
    </xf>
    <xf numFmtId="180" fontId="176" fillId="0" borderId="12" xfId="0" applyNumberFormat="1" applyFont="1" applyBorder="1" applyAlignment="1">
      <alignment horizontal="right" vertical="center" wrapText="1"/>
    </xf>
    <xf numFmtId="180" fontId="176" fillId="0" borderId="15" xfId="0" applyNumberFormat="1" applyFont="1" applyBorder="1" applyAlignment="1">
      <alignment horizontal="right" vertical="center" wrapText="1"/>
    </xf>
    <xf numFmtId="180" fontId="176" fillId="0" borderId="13" xfId="0" applyNumberFormat="1" applyFont="1" applyBorder="1" applyAlignment="1">
      <alignment horizontal="right" vertical="center" wrapText="1"/>
    </xf>
    <xf numFmtId="0" fontId="178" fillId="0" borderId="12" xfId="0" applyFont="1" applyBorder="1" applyAlignment="1">
      <alignment horizontal="center" vertical="center" wrapText="1"/>
    </xf>
    <xf numFmtId="0" fontId="178" fillId="0" borderId="15" xfId="0" applyFont="1" applyBorder="1" applyAlignment="1">
      <alignment horizontal="center" vertical="center" wrapText="1"/>
    </xf>
    <xf numFmtId="0" fontId="178" fillId="0" borderId="13" xfId="0" applyFont="1" applyBorder="1" applyAlignment="1">
      <alignment horizontal="center" vertical="center" wrapText="1"/>
    </xf>
    <xf numFmtId="184" fontId="179" fillId="0" borderId="12" xfId="0" applyNumberFormat="1" applyFont="1" applyBorder="1" applyAlignment="1">
      <alignment horizontal="center" vertical="center" wrapText="1"/>
    </xf>
    <xf numFmtId="184" fontId="179" fillId="0" borderId="15" xfId="0" applyNumberFormat="1" applyFont="1" applyBorder="1" applyAlignment="1">
      <alignment horizontal="center" vertical="center" wrapText="1"/>
    </xf>
    <xf numFmtId="184" fontId="179" fillId="0" borderId="13" xfId="0" applyNumberFormat="1" applyFont="1" applyBorder="1" applyAlignment="1">
      <alignment horizontal="center" vertical="center" wrapText="1"/>
    </xf>
    <xf numFmtId="0" fontId="84" fillId="3" borderId="12" xfId="0" applyFont="1" applyFill="1" applyBorder="1" applyAlignment="1">
      <alignment vertical="center" wrapText="1"/>
    </xf>
    <xf numFmtId="0" fontId="84" fillId="3" borderId="13" xfId="0" applyFont="1" applyFill="1" applyBorder="1" applyAlignment="1">
      <alignment vertical="center" wrapText="1"/>
    </xf>
    <xf numFmtId="3" fontId="176" fillId="0" borderId="12" xfId="0" applyNumberFormat="1" applyFont="1" applyBorder="1" applyAlignment="1" applyProtection="1">
      <alignment vertical="center" wrapText="1"/>
      <protection locked="0"/>
    </xf>
    <xf numFmtId="3" fontId="176" fillId="0" borderId="15" xfId="0" applyNumberFormat="1" applyFont="1" applyBorder="1" applyAlignment="1" applyProtection="1">
      <alignment vertical="center" wrapText="1"/>
      <protection locked="0"/>
    </xf>
    <xf numFmtId="3" fontId="176" fillId="0" borderId="13" xfId="0" applyNumberFormat="1" applyFont="1" applyBorder="1" applyAlignment="1" applyProtection="1">
      <alignment vertical="center" wrapText="1"/>
      <protection locked="0"/>
    </xf>
    <xf numFmtId="0" fontId="3" fillId="0" borderId="16"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4" fontId="97" fillId="0" borderId="10" xfId="0" applyNumberFormat="1" applyFont="1" applyBorder="1">
      <alignment vertical="center"/>
    </xf>
    <xf numFmtId="0" fontId="145" fillId="0" borderId="11" xfId="0" applyFont="1" applyBorder="1">
      <alignment vertical="center"/>
    </xf>
    <xf numFmtId="0" fontId="5" fillId="0" borderId="10" xfId="0" applyFont="1" applyBorder="1" applyAlignment="1">
      <alignment vertical="center" shrinkToFit="1"/>
    </xf>
    <xf numFmtId="0" fontId="5" fillId="2" borderId="10" xfId="0" applyFont="1" applyFill="1" applyBorder="1" applyAlignment="1">
      <alignment horizontal="center" vertical="center"/>
    </xf>
    <xf numFmtId="0" fontId="0" fillId="2" borderId="16" xfId="0" applyFill="1" applyBorder="1" applyAlignment="1">
      <alignment horizontal="center" vertical="center"/>
    </xf>
    <xf numFmtId="0" fontId="0" fillId="2" borderId="11" xfId="0" applyFill="1" applyBorder="1" applyAlignment="1">
      <alignment horizontal="center" vertical="center"/>
    </xf>
    <xf numFmtId="0" fontId="119" fillId="0" borderId="14" xfId="0" applyFont="1" applyBorder="1" applyAlignment="1">
      <alignment horizontal="right" vertical="top"/>
    </xf>
    <xf numFmtId="0" fontId="121" fillId="0" borderId="14" xfId="0" applyFont="1" applyBorder="1" applyAlignment="1">
      <alignment horizontal="right" vertical="top"/>
    </xf>
    <xf numFmtId="0" fontId="3" fillId="2" borderId="62" xfId="0" applyFont="1" applyFill="1" applyBorder="1" applyAlignment="1">
      <alignment horizontal="center" vertical="center"/>
    </xf>
    <xf numFmtId="0" fontId="0" fillId="0" borderId="62" xfId="0" applyBorder="1">
      <alignment vertical="center"/>
    </xf>
    <xf numFmtId="0" fontId="5" fillId="0" borderId="4" xfId="0" applyFont="1" applyBorder="1" applyAlignment="1">
      <alignment vertical="center" shrinkToFit="1"/>
    </xf>
    <xf numFmtId="0" fontId="5" fillId="0" borderId="4" xfId="0" applyFont="1" applyBorder="1">
      <alignment vertical="center"/>
    </xf>
    <xf numFmtId="176" fontId="16" fillId="0" borderId="16" xfId="0" applyNumberFormat="1" applyFont="1" applyBorder="1" applyProtection="1">
      <alignment vertical="center"/>
      <protection locked="0"/>
    </xf>
    <xf numFmtId="0" fontId="0" fillId="0" borderId="16" xfId="0" applyBorder="1" applyProtection="1">
      <alignment vertical="center"/>
      <protection locked="0"/>
    </xf>
    <xf numFmtId="0" fontId="0" fillId="0" borderId="11" xfId="0" applyBorder="1" applyProtection="1">
      <alignment vertical="center"/>
      <protection locked="0"/>
    </xf>
    <xf numFmtId="0" fontId="83" fillId="0" borderId="10" xfId="0" applyFont="1" applyBorder="1" applyAlignment="1">
      <alignment horizontal="left" vertical="center"/>
    </xf>
    <xf numFmtId="0" fontId="118" fillId="0" borderId="16" xfId="0" applyFont="1" applyBorder="1" applyAlignment="1">
      <alignment horizontal="left" vertical="center"/>
    </xf>
    <xf numFmtId="0" fontId="118" fillId="0" borderId="11" xfId="0" applyFont="1" applyBorder="1" applyAlignment="1">
      <alignment horizontal="left" vertical="center"/>
    </xf>
    <xf numFmtId="0" fontId="109" fillId="0" borderId="0" xfId="0" applyFont="1" applyAlignment="1">
      <alignment horizontal="right" vertical="center"/>
    </xf>
    <xf numFmtId="0" fontId="110" fillId="0" borderId="0" xfId="0" applyFont="1" applyAlignment="1">
      <alignment horizontal="right" vertical="center"/>
    </xf>
    <xf numFmtId="0" fontId="119" fillId="0" borderId="2" xfId="0" applyFont="1" applyBorder="1" applyAlignment="1">
      <alignment vertical="center" wrapText="1"/>
    </xf>
    <xf numFmtId="176" fontId="16" fillId="0" borderId="16" xfId="0" applyNumberFormat="1" applyFont="1" applyBorder="1">
      <alignment vertical="center"/>
    </xf>
    <xf numFmtId="176" fontId="16" fillId="0" borderId="11" xfId="0" applyNumberFormat="1" applyFont="1" applyBorder="1">
      <alignment vertical="center"/>
    </xf>
    <xf numFmtId="0" fontId="20" fillId="0" borderId="27" xfId="0" applyFont="1" applyBorder="1" applyAlignment="1">
      <alignment horizontal="left" vertical="center" shrinkToFit="1"/>
    </xf>
    <xf numFmtId="0" fontId="20" fillId="0" borderId="28" xfId="0" applyFont="1" applyBorder="1" applyAlignment="1">
      <alignment horizontal="left" vertical="center" shrinkToFit="1"/>
    </xf>
    <xf numFmtId="0" fontId="20" fillId="0" borderId="29" xfId="0" applyFont="1" applyBorder="1" applyAlignment="1">
      <alignment horizontal="left" vertical="center" shrinkToFit="1"/>
    </xf>
    <xf numFmtId="176" fontId="16" fillId="0" borderId="10" xfId="0" applyNumberFormat="1" applyFont="1" applyBorder="1" applyAlignment="1">
      <alignment horizontal="right" vertical="center"/>
    </xf>
    <xf numFmtId="176" fontId="16" fillId="0" borderId="16" xfId="0" applyNumberFormat="1" applyFont="1" applyBorder="1" applyAlignment="1">
      <alignment horizontal="right" vertical="center"/>
    </xf>
    <xf numFmtId="176" fontId="16" fillId="0" borderId="11" xfId="0" applyNumberFormat="1" applyFont="1" applyBorder="1" applyAlignment="1">
      <alignment horizontal="right" vertical="center"/>
    </xf>
    <xf numFmtId="176" fontId="17" fillId="0" borderId="5" xfId="0" applyNumberFormat="1" applyFont="1" applyBorder="1" applyAlignment="1">
      <alignment horizontal="right" vertical="center"/>
    </xf>
    <xf numFmtId="0" fontId="0" fillId="0" borderId="14" xfId="0" applyBorder="1" applyAlignment="1">
      <alignment horizontal="right" vertical="center"/>
    </xf>
    <xf numFmtId="0" fontId="0" fillId="0" borderId="3" xfId="0" applyBorder="1" applyAlignment="1">
      <alignment horizontal="right" vertical="center"/>
    </xf>
    <xf numFmtId="0" fontId="0" fillId="0" borderId="16" xfId="0" applyBorder="1" applyAlignment="1">
      <alignment horizontal="right" vertical="center"/>
    </xf>
    <xf numFmtId="0" fontId="0" fillId="0" borderId="11" xfId="0" applyBorder="1" applyAlignment="1">
      <alignment horizontal="right" vertical="center"/>
    </xf>
    <xf numFmtId="0" fontId="25" fillId="0" borderId="0" xfId="0" applyFont="1" applyAlignment="1">
      <alignment horizontal="left"/>
    </xf>
    <xf numFmtId="0" fontId="12" fillId="0" borderId="0" xfId="0" applyFont="1" applyAlignment="1">
      <alignment horizontal="left"/>
    </xf>
    <xf numFmtId="0" fontId="119" fillId="0" borderId="87" xfId="0" applyFont="1" applyBorder="1" applyAlignment="1">
      <alignment horizontal="center" vertical="top" shrinkToFit="1"/>
    </xf>
    <xf numFmtId="0" fontId="121" fillId="0" borderId="87" xfId="0" applyFont="1" applyBorder="1" applyAlignment="1">
      <alignment horizontal="center" vertical="top" shrinkToFit="1"/>
    </xf>
    <xf numFmtId="0" fontId="121" fillId="0" borderId="0" xfId="0" applyFont="1" applyAlignment="1">
      <alignment horizontal="center" vertical="top" shrinkToFit="1"/>
    </xf>
    <xf numFmtId="0" fontId="123" fillId="0" borderId="0" xfId="0" applyFont="1" applyAlignment="1">
      <alignment horizontal="left" vertical="center" wrapText="1"/>
    </xf>
    <xf numFmtId="176" fontId="16" fillId="0" borderId="5" xfId="0" applyNumberFormat="1" applyFont="1" applyBorder="1" applyAlignment="1">
      <alignment horizontal="right" vertical="center"/>
    </xf>
    <xf numFmtId="0" fontId="25" fillId="0" borderId="0" xfId="0" applyFont="1" applyAlignment="1">
      <alignment horizontal="left" vertical="top" wrapText="1"/>
    </xf>
    <xf numFmtId="0" fontId="83" fillId="0" borderId="8" xfId="0" applyFont="1" applyBorder="1" applyAlignment="1">
      <alignment horizontal="left" vertical="center"/>
    </xf>
    <xf numFmtId="0" fontId="83" fillId="0" borderId="2" xfId="0" applyFont="1" applyBorder="1" applyAlignment="1">
      <alignment horizontal="left" vertical="center"/>
    </xf>
    <xf numFmtId="176" fontId="16" fillId="0" borderId="10" xfId="0" applyNumberFormat="1" applyFont="1" applyBorder="1">
      <alignment vertical="center"/>
    </xf>
    <xf numFmtId="176" fontId="16" fillId="0" borderId="30" xfId="0" applyNumberFormat="1" applyFont="1" applyBorder="1" applyAlignment="1">
      <alignment horizontal="right" vertical="center"/>
    </xf>
    <xf numFmtId="176" fontId="16" fillId="0" borderId="31" xfId="0" applyNumberFormat="1" applyFont="1" applyBorder="1" applyAlignment="1">
      <alignment horizontal="right" vertical="center"/>
    </xf>
    <xf numFmtId="176" fontId="16" fillId="0" borderId="32" xfId="0" applyNumberFormat="1" applyFont="1" applyBorder="1" applyAlignment="1">
      <alignment horizontal="right" vertical="center"/>
    </xf>
    <xf numFmtId="0" fontId="25" fillId="0" borderId="10" xfId="0" applyFont="1" applyBorder="1" applyAlignment="1" applyProtection="1">
      <alignment horizontal="left" vertical="center" shrinkToFit="1"/>
      <protection locked="0"/>
    </xf>
    <xf numFmtId="0" fontId="25" fillId="0" borderId="16" xfId="0" applyFont="1" applyBorder="1" applyAlignment="1" applyProtection="1">
      <alignment horizontal="left" vertical="center" shrinkToFit="1"/>
      <protection locked="0"/>
    </xf>
    <xf numFmtId="0" fontId="25" fillId="0" borderId="11" xfId="0" applyFont="1" applyBorder="1" applyAlignment="1" applyProtection="1">
      <alignment horizontal="left" vertical="center" shrinkToFit="1"/>
      <protection locked="0"/>
    </xf>
    <xf numFmtId="176" fontId="25" fillId="0" borderId="10" xfId="0" applyNumberFormat="1" applyFont="1" applyBorder="1" applyAlignment="1" applyProtection="1">
      <alignment horizontal="right" vertical="center"/>
      <protection locked="0"/>
    </xf>
    <xf numFmtId="176" fontId="25" fillId="0" borderId="16" xfId="0" applyNumberFormat="1" applyFont="1" applyBorder="1" applyAlignment="1" applyProtection="1">
      <alignment horizontal="right" vertical="center"/>
      <protection locked="0"/>
    </xf>
    <xf numFmtId="176" fontId="25" fillId="0" borderId="10" xfId="0" quotePrefix="1" applyNumberFormat="1" applyFont="1" applyBorder="1" applyAlignment="1" applyProtection="1">
      <alignment vertical="center" shrinkToFit="1"/>
      <protection locked="0"/>
    </xf>
    <xf numFmtId="176" fontId="25" fillId="0" borderId="16" xfId="0" applyNumberFormat="1" applyFont="1" applyBorder="1" applyAlignment="1" applyProtection="1">
      <alignment vertical="center" shrinkToFit="1"/>
      <protection locked="0"/>
    </xf>
    <xf numFmtId="176" fontId="25" fillId="0" borderId="11" xfId="0" applyNumberFormat="1" applyFont="1" applyBorder="1" applyAlignment="1" applyProtection="1">
      <alignment vertical="center" shrinkToFit="1"/>
      <protection locked="0"/>
    </xf>
    <xf numFmtId="176" fontId="25" fillId="0" borderId="4" xfId="0" quotePrefix="1" applyNumberFormat="1" applyFont="1" applyBorder="1" applyAlignment="1" applyProtection="1">
      <alignment horizontal="left" vertical="center" shrinkToFit="1"/>
      <protection locked="0"/>
    </xf>
    <xf numFmtId="176" fontId="25" fillId="0" borderId="4" xfId="0" applyNumberFormat="1" applyFont="1" applyBorder="1" applyAlignment="1" applyProtection="1">
      <alignment horizontal="left" vertical="center" shrinkToFit="1"/>
      <protection locked="0"/>
    </xf>
    <xf numFmtId="176" fontId="25" fillId="0" borderId="33" xfId="0" quotePrefix="1" applyNumberFormat="1" applyFont="1" applyBorder="1">
      <alignment vertical="center"/>
    </xf>
    <xf numFmtId="176" fontId="25" fillId="0" borderId="34" xfId="0" applyNumberFormat="1" applyFont="1" applyBorder="1">
      <alignment vertical="center"/>
    </xf>
    <xf numFmtId="176" fontId="25" fillId="0" borderId="35" xfId="0" applyNumberFormat="1" applyFont="1" applyBorder="1">
      <alignment vertical="center"/>
    </xf>
    <xf numFmtId="176" fontId="16" fillId="0" borderId="62" xfId="0" applyNumberFormat="1" applyFont="1" applyBorder="1" applyAlignment="1">
      <alignment horizontal="left" vertical="center"/>
    </xf>
    <xf numFmtId="0" fontId="19" fillId="0" borderId="5" xfId="0" applyFont="1" applyBorder="1" applyAlignment="1">
      <alignment horizontal="center" vertic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4" xfId="0" applyFont="1" applyBorder="1" applyAlignment="1">
      <alignment horizontal="center" vertical="center"/>
    </xf>
    <xf numFmtId="0" fontId="19" fillId="0" borderId="2" xfId="0" applyFont="1" applyBorder="1" applyAlignment="1">
      <alignment horizontal="center" vertical="center"/>
    </xf>
    <xf numFmtId="0" fontId="19" fillId="0" borderId="5" xfId="0" applyFont="1" applyBorder="1" applyAlignment="1">
      <alignment horizontal="center" vertical="center" shrinkToFit="1"/>
    </xf>
    <xf numFmtId="0" fontId="19" fillId="0" borderId="14" xfId="0" applyFont="1" applyBorder="1" applyAlignment="1">
      <alignment horizontal="center" vertical="center" shrinkToFit="1"/>
    </xf>
    <xf numFmtId="0" fontId="19" fillId="0" borderId="4" xfId="0" applyFont="1" applyBorder="1" applyAlignment="1">
      <alignment horizontal="center" vertical="center"/>
    </xf>
    <xf numFmtId="0" fontId="25" fillId="0" borderId="2" xfId="0" applyFont="1" applyBorder="1" applyAlignment="1">
      <alignment horizontal="center" vertical="center"/>
    </xf>
    <xf numFmtId="176" fontId="26" fillId="0" borderId="10" xfId="0" applyNumberFormat="1" applyFont="1" applyBorder="1" applyAlignment="1">
      <alignment horizontal="left" vertical="center" shrinkToFit="1"/>
    </xf>
    <xf numFmtId="0" fontId="0" fillId="0" borderId="16" xfId="0" applyBorder="1" applyAlignment="1">
      <alignment vertical="center" shrinkToFit="1"/>
    </xf>
    <xf numFmtId="0" fontId="19" fillId="0" borderId="10" xfId="0" applyFont="1" applyBorder="1" applyAlignment="1">
      <alignment horizontal="left" vertical="center"/>
    </xf>
    <xf numFmtId="0" fontId="19" fillId="0" borderId="16" xfId="0" applyFont="1" applyBorder="1" applyAlignment="1">
      <alignment horizontal="left" vertical="center"/>
    </xf>
    <xf numFmtId="0" fontId="19" fillId="0" borderId="11" xfId="0" applyFont="1" applyBorder="1" applyAlignment="1">
      <alignment horizontal="left" vertical="center"/>
    </xf>
    <xf numFmtId="176" fontId="16" fillId="0" borderId="10" xfId="0" applyNumberFormat="1" applyFont="1" applyBorder="1" applyAlignment="1" applyProtection="1">
      <alignment horizontal="right" vertical="center"/>
      <protection locked="0"/>
    </xf>
    <xf numFmtId="176" fontId="16" fillId="0" borderId="16" xfId="0" applyNumberFormat="1" applyFont="1" applyBorder="1" applyAlignment="1" applyProtection="1">
      <alignment horizontal="right" vertical="center"/>
      <protection locked="0"/>
    </xf>
    <xf numFmtId="176" fontId="16" fillId="0" borderId="11" xfId="0" applyNumberFormat="1" applyFont="1" applyBorder="1" applyAlignment="1" applyProtection="1">
      <alignment horizontal="right" vertical="center"/>
      <protection locked="0"/>
    </xf>
    <xf numFmtId="49" fontId="23" fillId="0" borderId="33" xfId="0" applyNumberFormat="1" applyFont="1" applyBorder="1" applyAlignment="1">
      <alignment horizontal="left" vertical="center" shrinkToFit="1"/>
    </xf>
    <xf numFmtId="49" fontId="23" fillId="0" borderId="34" xfId="0" applyNumberFormat="1" applyFont="1" applyBorder="1" applyAlignment="1">
      <alignment horizontal="left" vertical="center" shrinkToFit="1"/>
    </xf>
    <xf numFmtId="49" fontId="23" fillId="0" borderId="35" xfId="0" applyNumberFormat="1" applyFont="1" applyBorder="1" applyAlignment="1">
      <alignment horizontal="left" vertical="center" shrinkToFit="1"/>
    </xf>
    <xf numFmtId="49" fontId="23" fillId="0" borderId="10" xfId="0" applyNumberFormat="1" applyFont="1" applyBorder="1" applyAlignment="1" applyProtection="1">
      <alignment horizontal="left" vertical="center" shrinkToFit="1"/>
      <protection locked="0"/>
    </xf>
    <xf numFmtId="49" fontId="21" fillId="0" borderId="16" xfId="0" applyNumberFormat="1" applyFont="1" applyBorder="1" applyAlignment="1" applyProtection="1">
      <alignment horizontal="left" vertical="center" shrinkToFit="1"/>
      <protection locked="0"/>
    </xf>
    <xf numFmtId="49" fontId="21" fillId="0" borderId="11" xfId="0" applyNumberFormat="1" applyFont="1" applyBorder="1" applyAlignment="1" applyProtection="1">
      <alignment horizontal="left" vertical="center" shrinkToFit="1"/>
      <protection locked="0"/>
    </xf>
    <xf numFmtId="49" fontId="23" fillId="0" borderId="16" xfId="0" applyNumberFormat="1" applyFont="1" applyBorder="1" applyAlignment="1" applyProtection="1">
      <alignment horizontal="left" vertical="center" shrinkToFit="1"/>
      <protection locked="0"/>
    </xf>
    <xf numFmtId="49" fontId="23" fillId="0" borderId="11" xfId="0" applyNumberFormat="1" applyFont="1" applyBorder="1" applyAlignment="1" applyProtection="1">
      <alignment horizontal="left" vertical="center" shrinkToFit="1"/>
      <protection locked="0"/>
    </xf>
    <xf numFmtId="0" fontId="19" fillId="0" borderId="1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0" xfId="0" applyFont="1" applyBorder="1" applyAlignment="1">
      <alignment horizontal="center" vertical="center"/>
    </xf>
    <xf numFmtId="0" fontId="19" fillId="0" borderId="16" xfId="0" applyFont="1" applyBorder="1" applyAlignment="1">
      <alignment horizontal="center" vertical="center"/>
    </xf>
    <xf numFmtId="0" fontId="19" fillId="0" borderId="11" xfId="0" applyFont="1" applyBorder="1" applyAlignment="1">
      <alignment horizontal="center" vertical="center"/>
    </xf>
    <xf numFmtId="0" fontId="26" fillId="0" borderId="0" xfId="0" applyFont="1" applyAlignment="1">
      <alignment horizontal="left" vertical="top" wrapText="1"/>
    </xf>
    <xf numFmtId="0" fontId="12" fillId="0" borderId="0" xfId="0" applyFont="1" applyAlignment="1">
      <alignment horizontal="left" vertical="top" wrapText="1"/>
    </xf>
    <xf numFmtId="176" fontId="25" fillId="0" borderId="0" xfId="0" applyNumberFormat="1" applyFont="1" applyAlignment="1">
      <alignment horizontal="right"/>
    </xf>
    <xf numFmtId="176" fontId="100" fillId="0" borderId="0" xfId="0" applyNumberFormat="1" applyFont="1" applyAlignment="1">
      <alignment horizontal="right"/>
    </xf>
    <xf numFmtId="0" fontId="30" fillId="0" borderId="0" xfId="0" applyFont="1" applyAlignment="1">
      <alignment horizontal="left" vertical="center" wrapText="1"/>
    </xf>
    <xf numFmtId="0" fontId="83" fillId="0" borderId="16" xfId="0" applyFont="1" applyBorder="1" applyAlignment="1">
      <alignment horizontal="left" vertical="center"/>
    </xf>
    <xf numFmtId="176" fontId="16" fillId="0" borderId="33" xfId="0" applyNumberFormat="1" applyFont="1" applyBorder="1" applyAlignment="1">
      <alignment horizontal="right" vertical="center"/>
    </xf>
    <xf numFmtId="176" fontId="16" fillId="0" borderId="34" xfId="0" applyNumberFormat="1" applyFont="1" applyBorder="1" applyAlignment="1">
      <alignment horizontal="right" vertical="center"/>
    </xf>
    <xf numFmtId="176" fontId="16" fillId="0" borderId="35" xfId="0" applyNumberFormat="1" applyFont="1" applyBorder="1" applyAlignment="1">
      <alignment horizontal="right" vertical="center"/>
    </xf>
    <xf numFmtId="176" fontId="122" fillId="0" borderId="84" xfId="0" applyNumberFormat="1" applyFont="1" applyBorder="1" applyAlignment="1">
      <alignment horizontal="right" vertical="center"/>
    </xf>
    <xf numFmtId="176" fontId="122" fillId="0" borderId="85" xfId="0" applyNumberFormat="1" applyFont="1" applyBorder="1" applyAlignment="1">
      <alignment horizontal="right" vertical="center"/>
    </xf>
    <xf numFmtId="176" fontId="122" fillId="0" borderId="86" xfId="0" applyNumberFormat="1" applyFont="1" applyBorder="1" applyAlignment="1">
      <alignment horizontal="right" vertical="center"/>
    </xf>
    <xf numFmtId="0" fontId="19" fillId="15" borderId="27" xfId="0" applyFont="1" applyFill="1" applyBorder="1" applyAlignment="1" applyProtection="1">
      <alignment horizontal="center" vertical="center"/>
      <protection locked="0"/>
    </xf>
    <xf numFmtId="0" fontId="19" fillId="15" borderId="29" xfId="0" applyFont="1" applyFill="1" applyBorder="1" applyAlignment="1" applyProtection="1">
      <alignment horizontal="center" vertical="center"/>
      <protection locked="0"/>
    </xf>
    <xf numFmtId="0" fontId="19" fillId="0" borderId="5"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3" xfId="0" applyFont="1" applyBorder="1" applyAlignment="1">
      <alignment horizontal="center" vertical="center" shrinkToFit="1"/>
    </xf>
    <xf numFmtId="0" fontId="21" fillId="0" borderId="5"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3" xfId="0" applyFont="1" applyBorder="1" applyAlignment="1">
      <alignment horizontal="center" vertical="center" wrapText="1"/>
    </xf>
    <xf numFmtId="0" fontId="25" fillId="0" borderId="8" xfId="0" applyFont="1" applyBorder="1" applyAlignment="1">
      <alignment horizontal="right" vertical="center" shrinkToFit="1"/>
    </xf>
    <xf numFmtId="0" fontId="25" fillId="0" borderId="2" xfId="0" applyFont="1" applyBorder="1" applyAlignment="1">
      <alignment horizontal="right" vertical="center" shrinkToFit="1"/>
    </xf>
    <xf numFmtId="0" fontId="113" fillId="0" borderId="10" xfId="0" applyFont="1" applyBorder="1" applyAlignment="1">
      <alignment horizontal="left" vertical="center"/>
    </xf>
    <xf numFmtId="0" fontId="113" fillId="0" borderId="16" xfId="0" applyFont="1" applyBorder="1" applyAlignment="1">
      <alignment horizontal="left" vertical="center"/>
    </xf>
    <xf numFmtId="0" fontId="113" fillId="0" borderId="11" xfId="0" applyFont="1" applyBorder="1" applyAlignment="1">
      <alignment horizontal="left" vertical="center"/>
    </xf>
    <xf numFmtId="0" fontId="0" fillId="0" borderId="16" xfId="0" applyFont="1" applyBorder="1" applyAlignment="1">
      <alignment horizontal="right" vertical="center"/>
    </xf>
    <xf numFmtId="0" fontId="0" fillId="0" borderId="11" xfId="0" applyFont="1" applyBorder="1" applyAlignment="1">
      <alignment horizontal="right" vertical="center"/>
    </xf>
    <xf numFmtId="0" fontId="3" fillId="0" borderId="5"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0" fillId="13" borderId="4" xfId="0" applyFont="1" applyFill="1" applyBorder="1" applyAlignment="1">
      <alignment horizontal="justify" vertical="center" wrapText="1"/>
    </xf>
    <xf numFmtId="0" fontId="0" fillId="13" borderId="4" xfId="0" applyFill="1" applyBorder="1" applyAlignment="1">
      <alignment vertical="center" wrapText="1"/>
    </xf>
    <xf numFmtId="0" fontId="2" fillId="0" borderId="10" xfId="0" applyFont="1" applyBorder="1" applyAlignment="1">
      <alignment vertical="center" wrapText="1"/>
    </xf>
    <xf numFmtId="0" fontId="2" fillId="0" borderId="16" xfId="0" applyFont="1" applyBorder="1" applyAlignment="1">
      <alignment vertical="center" wrapText="1"/>
    </xf>
    <xf numFmtId="0" fontId="2" fillId="0" borderId="11" xfId="0" applyFont="1" applyBorder="1" applyAlignment="1">
      <alignment vertical="center" wrapText="1"/>
    </xf>
    <xf numFmtId="0" fontId="3" fillId="0" borderId="5" xfId="0" applyFont="1"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applyAlignment="1" applyProtection="1">
      <alignment vertical="top" wrapText="1"/>
      <protection locked="0"/>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9" xfId="0" applyBorder="1" applyAlignment="1" applyProtection="1">
      <alignment vertical="top" wrapText="1"/>
      <protection locked="0"/>
    </xf>
    <xf numFmtId="0" fontId="38" fillId="0" borderId="4" xfId="1" applyFont="1" applyBorder="1" applyAlignment="1">
      <alignment horizontal="left" vertical="center"/>
    </xf>
    <xf numFmtId="183" fontId="108" fillId="0" borderId="0" xfId="1" applyNumberFormat="1" applyFont="1" applyAlignment="1">
      <alignment horizontal="left" vertical="center"/>
    </xf>
    <xf numFmtId="183" fontId="108" fillId="0" borderId="0" xfId="0" applyNumberFormat="1" applyFont="1" applyAlignment="1">
      <alignment horizontal="left" vertical="center"/>
    </xf>
    <xf numFmtId="0" fontId="64" fillId="0" borderId="0" xfId="1" applyFont="1" applyAlignment="1">
      <alignment vertical="center" wrapText="1"/>
    </xf>
    <xf numFmtId="0" fontId="49" fillId="0" borderId="0" xfId="0" applyFont="1" applyAlignment="1">
      <alignment vertical="center" wrapText="1"/>
    </xf>
    <xf numFmtId="0" fontId="49" fillId="0" borderId="2" xfId="0" applyFont="1" applyBorder="1" applyAlignment="1">
      <alignment vertical="center" wrapText="1"/>
    </xf>
    <xf numFmtId="38" fontId="31" fillId="0" borderId="0" xfId="2" applyFont="1" applyFill="1" applyBorder="1" applyAlignment="1" applyProtection="1">
      <alignment vertical="center" shrinkToFit="1"/>
    </xf>
    <xf numFmtId="0" fontId="71" fillId="0" borderId="0" xfId="0" applyFont="1" applyAlignment="1">
      <alignment vertical="center" shrinkToFit="1"/>
    </xf>
    <xf numFmtId="0" fontId="38" fillId="0" borderId="5" xfId="1" applyFont="1" applyBorder="1" applyAlignment="1">
      <alignment horizontal="center"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8" fillId="0" borderId="13" xfId="1" applyFont="1" applyBorder="1" applyAlignment="1">
      <alignment horizontal="left" vertical="center"/>
    </xf>
    <xf numFmtId="0" fontId="38" fillId="0" borderId="36" xfId="1" applyFont="1" applyBorder="1" applyAlignment="1">
      <alignment horizontal="left" vertical="center"/>
    </xf>
    <xf numFmtId="0" fontId="38" fillId="0" borderId="4" xfId="1" applyFont="1" applyBorder="1" applyAlignment="1">
      <alignment horizontal="center" vertical="center" wrapText="1"/>
    </xf>
    <xf numFmtId="0" fontId="38" fillId="0" borderId="10" xfId="1" applyFont="1" applyBorder="1" applyAlignment="1">
      <alignment horizontal="left" vertical="center" indent="1"/>
    </xf>
    <xf numFmtId="0" fontId="38" fillId="0" borderId="11" xfId="1" applyFont="1" applyBorder="1" applyAlignment="1">
      <alignment horizontal="left" vertical="center" indent="1"/>
    </xf>
    <xf numFmtId="0" fontId="63" fillId="0" borderId="6" xfId="1" applyFont="1" applyBorder="1" applyAlignment="1">
      <alignment vertical="center" shrinkToFit="1"/>
    </xf>
    <xf numFmtId="0" fontId="38" fillId="0" borderId="5" xfId="1" applyFont="1" applyBorder="1" applyAlignment="1">
      <alignment horizontal="left" vertical="center" indent="1"/>
    </xf>
    <xf numFmtId="0" fontId="38" fillId="0" borderId="3" xfId="1" applyFont="1" applyBorder="1" applyAlignment="1">
      <alignment horizontal="left" vertical="center" indent="1"/>
    </xf>
    <xf numFmtId="0" fontId="40" fillId="0" borderId="39" xfId="1" applyFont="1" applyBorder="1" applyAlignment="1">
      <alignment horizontal="left" vertical="center" wrapText="1" shrinkToFit="1"/>
    </xf>
    <xf numFmtId="0" fontId="40" fillId="0" borderId="40" xfId="1" applyFont="1" applyBorder="1" applyAlignment="1">
      <alignment horizontal="left" vertical="center" wrapText="1" shrinkToFit="1"/>
    </xf>
    <xf numFmtId="0" fontId="40" fillId="0" borderId="41" xfId="1" applyFont="1" applyBorder="1" applyAlignment="1">
      <alignment horizontal="left" vertical="center" wrapText="1" shrinkToFit="1"/>
    </xf>
    <xf numFmtId="38" fontId="38" fillId="8" borderId="8" xfId="2" applyFont="1" applyFill="1" applyBorder="1" applyAlignment="1" applyProtection="1">
      <alignment horizontal="center" vertical="center" wrapText="1"/>
    </xf>
    <xf numFmtId="0" fontId="80" fillId="8" borderId="2" xfId="0" applyFont="1" applyFill="1" applyBorder="1" applyAlignment="1">
      <alignment horizontal="center" vertical="center"/>
    </xf>
    <xf numFmtId="0" fontId="80" fillId="8" borderId="9" xfId="0" applyFont="1" applyFill="1" applyBorder="1" applyAlignment="1">
      <alignment horizontal="center" vertical="center"/>
    </xf>
    <xf numFmtId="0" fontId="40" fillId="0" borderId="10" xfId="1" applyFont="1" applyBorder="1" applyAlignment="1">
      <alignment horizontal="left" vertical="center" wrapText="1" shrinkToFit="1"/>
    </xf>
    <xf numFmtId="0" fontId="40" fillId="0" borderId="16" xfId="1" applyFont="1" applyBorder="1" applyAlignment="1">
      <alignment horizontal="left" vertical="center" wrapText="1" shrinkToFit="1"/>
    </xf>
    <xf numFmtId="0" fontId="40" fillId="0" borderId="11" xfId="1" applyFont="1" applyBorder="1" applyAlignment="1">
      <alignment horizontal="left" vertical="center" wrapText="1" shrinkToFit="1"/>
    </xf>
    <xf numFmtId="0" fontId="40" fillId="0" borderId="4" xfId="1" applyFont="1" applyBorder="1" applyAlignment="1">
      <alignment horizontal="left" vertical="center" wrapText="1" shrinkToFit="1"/>
    </xf>
    <xf numFmtId="0" fontId="40" fillId="0" borderId="8" xfId="1" applyFont="1" applyBorder="1" applyAlignment="1">
      <alignment horizontal="left" vertical="center" wrapText="1" shrinkToFit="1"/>
    </xf>
    <xf numFmtId="0" fontId="40" fillId="0" borderId="2" xfId="1" applyFont="1" applyBorder="1" applyAlignment="1">
      <alignment horizontal="left" vertical="center" wrapText="1" shrinkToFit="1"/>
    </xf>
    <xf numFmtId="0" fontId="40" fillId="0" borderId="10" xfId="1" applyFont="1" applyBorder="1" applyAlignment="1">
      <alignment horizontal="left" vertical="center" shrinkToFit="1"/>
    </xf>
    <xf numFmtId="0" fontId="40" fillId="0" borderId="16" xfId="1" applyFont="1" applyBorder="1" applyAlignment="1">
      <alignment horizontal="left" vertical="center" shrinkToFit="1"/>
    </xf>
    <xf numFmtId="38" fontId="70" fillId="0" borderId="0" xfId="2" applyFont="1" applyFill="1" applyBorder="1" applyAlignment="1" applyProtection="1">
      <alignment vertical="center" shrinkToFit="1"/>
    </xf>
    <xf numFmtId="38" fontId="38" fillId="0" borderId="8" xfId="2" applyFont="1" applyFill="1" applyBorder="1" applyAlignment="1" applyProtection="1">
      <alignment horizontal="left" vertical="center"/>
    </xf>
    <xf numFmtId="38" fontId="38" fillId="0" borderId="9" xfId="2" applyFont="1" applyFill="1" applyBorder="1" applyAlignment="1" applyProtection="1">
      <alignment horizontal="left" vertical="center"/>
    </xf>
    <xf numFmtId="38" fontId="38" fillId="0" borderId="5" xfId="2" applyFont="1" applyFill="1" applyBorder="1" applyAlignment="1" applyProtection="1">
      <alignment horizontal="left" vertical="center"/>
    </xf>
    <xf numFmtId="38" fontId="38" fillId="0" borderId="3" xfId="2" applyFont="1" applyFill="1" applyBorder="1" applyAlignment="1" applyProtection="1">
      <alignment horizontal="left" vertical="center"/>
    </xf>
    <xf numFmtId="38" fontId="38" fillId="0" borderId="10" xfId="2" applyFont="1" applyFill="1" applyBorder="1" applyAlignment="1" applyProtection="1">
      <alignment horizontal="left" vertical="center" wrapText="1"/>
    </xf>
    <xf numFmtId="38" fontId="38" fillId="0" borderId="11" xfId="2" applyFont="1" applyFill="1" applyBorder="1" applyAlignment="1" applyProtection="1">
      <alignment horizontal="left" vertical="center" wrapText="1"/>
    </xf>
    <xf numFmtId="38" fontId="38" fillId="5" borderId="5" xfId="2" applyFont="1" applyFill="1" applyBorder="1" applyAlignment="1" applyProtection="1">
      <alignment horizontal="center" vertical="center" wrapText="1"/>
    </xf>
    <xf numFmtId="38" fontId="38" fillId="5" borderId="14" xfId="2" applyFont="1" applyFill="1" applyBorder="1" applyAlignment="1" applyProtection="1">
      <alignment horizontal="center" vertical="center" wrapText="1"/>
    </xf>
    <xf numFmtId="38" fontId="38" fillId="5" borderId="14" xfId="2" applyFont="1" applyFill="1" applyBorder="1" applyAlignment="1" applyProtection="1">
      <alignment horizontal="center" vertical="center" shrinkToFit="1"/>
    </xf>
    <xf numFmtId="38" fontId="38" fillId="5" borderId="3" xfId="2" applyFont="1" applyFill="1" applyBorder="1" applyAlignment="1" applyProtection="1">
      <alignment horizontal="center" vertical="center" shrinkToFit="1"/>
    </xf>
    <xf numFmtId="38" fontId="38" fillId="5" borderId="0" xfId="2" applyFont="1" applyFill="1" applyBorder="1" applyAlignment="1" applyProtection="1">
      <alignment horizontal="center" vertical="center" shrinkToFit="1"/>
    </xf>
    <xf numFmtId="38" fontId="38" fillId="5" borderId="7" xfId="2" applyFont="1" applyFill="1" applyBorder="1" applyAlignment="1" applyProtection="1">
      <alignment horizontal="center" vertical="center" shrinkToFit="1"/>
    </xf>
    <xf numFmtId="38" fontId="42" fillId="0" borderId="42" xfId="2" applyFont="1" applyFill="1" applyBorder="1" applyAlignment="1" applyProtection="1">
      <alignment horizontal="center" vertical="center" wrapText="1"/>
    </xf>
    <xf numFmtId="38" fontId="42" fillId="0" borderId="43" xfId="2" applyFont="1" applyFill="1" applyBorder="1" applyAlignment="1" applyProtection="1">
      <alignment horizontal="center" vertical="center" wrapText="1"/>
    </xf>
    <xf numFmtId="38" fontId="114" fillId="0" borderId="45" xfId="2" applyFont="1" applyFill="1" applyBorder="1" applyAlignment="1" applyProtection="1">
      <alignment horizontal="center" vertical="center" wrapText="1"/>
    </xf>
    <xf numFmtId="38" fontId="114" fillId="0" borderId="46" xfId="2" applyFont="1" applyFill="1" applyBorder="1" applyAlignment="1" applyProtection="1">
      <alignment horizontal="center" vertical="center" wrapText="1"/>
    </xf>
    <xf numFmtId="38" fontId="42" fillId="0" borderId="48" xfId="2" applyFont="1" applyFill="1" applyBorder="1" applyAlignment="1" applyProtection="1">
      <alignment horizontal="center" vertical="center" wrapText="1"/>
    </xf>
    <xf numFmtId="38" fontId="42" fillId="0" borderId="49" xfId="2" applyFont="1" applyFill="1" applyBorder="1" applyAlignment="1" applyProtection="1">
      <alignment horizontal="center" vertical="center" wrapText="1"/>
    </xf>
    <xf numFmtId="38" fontId="38" fillId="5" borderId="6" xfId="2" applyFont="1" applyFill="1" applyBorder="1" applyAlignment="1" applyProtection="1">
      <alignment horizontal="center" vertical="center" wrapText="1"/>
    </xf>
    <xf numFmtId="38" fontId="38" fillId="5" borderId="0" xfId="2" applyFont="1" applyFill="1" applyBorder="1" applyAlignment="1" applyProtection="1">
      <alignment horizontal="center" vertical="center" wrapText="1"/>
    </xf>
    <xf numFmtId="38" fontId="38" fillId="0" borderId="10" xfId="2" applyFont="1" applyFill="1" applyBorder="1" applyAlignment="1" applyProtection="1">
      <alignment horizontal="left" vertical="center" shrinkToFit="1"/>
    </xf>
    <xf numFmtId="38" fontId="38" fillId="0" borderId="16" xfId="2" applyFont="1" applyFill="1" applyBorder="1" applyAlignment="1" applyProtection="1">
      <alignment horizontal="left" vertical="center" shrinkToFit="1"/>
    </xf>
    <xf numFmtId="38" fontId="38" fillId="0" borderId="11" xfId="2" applyFont="1" applyFill="1" applyBorder="1" applyAlignment="1" applyProtection="1">
      <alignment horizontal="left" vertical="center" shrinkToFit="1"/>
    </xf>
    <xf numFmtId="38" fontId="38" fillId="0" borderId="8" xfId="2" applyFont="1" applyFill="1" applyBorder="1" applyAlignment="1" applyProtection="1">
      <alignment horizontal="left" vertical="center" shrinkToFit="1"/>
    </xf>
    <xf numFmtId="38" fontId="38" fillId="0" borderId="2" xfId="2" applyFont="1" applyFill="1" applyBorder="1" applyAlignment="1" applyProtection="1">
      <alignment horizontal="left" vertical="center" shrinkToFit="1"/>
    </xf>
    <xf numFmtId="38" fontId="38" fillId="0" borderId="9" xfId="2" applyFont="1" applyFill="1" applyBorder="1" applyAlignment="1" applyProtection="1">
      <alignment horizontal="left" vertical="center" shrinkToFit="1"/>
    </xf>
    <xf numFmtId="38" fontId="40" fillId="0" borderId="6" xfId="2" applyFont="1" applyFill="1" applyBorder="1" applyAlignment="1" applyProtection="1">
      <alignment horizontal="left" vertical="center" wrapText="1" shrinkToFit="1"/>
    </xf>
    <xf numFmtId="38" fontId="40" fillId="0" borderId="0" xfId="2" applyFont="1" applyFill="1" applyBorder="1" applyAlignment="1" applyProtection="1">
      <alignment horizontal="left" vertical="center" wrapText="1" shrinkToFit="1"/>
    </xf>
    <xf numFmtId="38" fontId="40" fillId="0" borderId="7" xfId="2" applyFont="1" applyFill="1" applyBorder="1" applyAlignment="1" applyProtection="1">
      <alignment horizontal="left" vertical="center" wrapText="1" shrinkToFit="1"/>
    </xf>
    <xf numFmtId="38" fontId="38" fillId="8" borderId="10" xfId="2" applyFont="1" applyFill="1" applyBorder="1" applyAlignment="1" applyProtection="1">
      <alignment horizontal="center" vertical="center" wrapText="1"/>
    </xf>
    <xf numFmtId="0" fontId="80" fillId="8" borderId="16" xfId="0" applyFont="1" applyFill="1" applyBorder="1" applyAlignment="1">
      <alignment horizontal="center" vertical="center"/>
    </xf>
    <xf numFmtId="0" fontId="80" fillId="8" borderId="11" xfId="0" applyFont="1" applyFill="1" applyBorder="1" applyAlignment="1">
      <alignment horizontal="center" vertical="center"/>
    </xf>
    <xf numFmtId="38" fontId="40" fillId="0" borderId="10" xfId="2" applyFont="1" applyFill="1" applyBorder="1" applyAlignment="1" applyProtection="1">
      <alignment horizontal="left" vertical="center" wrapText="1" shrinkToFit="1"/>
    </xf>
    <xf numFmtId="38" fontId="40" fillId="0" borderId="16" xfId="2" applyFont="1" applyFill="1" applyBorder="1" applyAlignment="1" applyProtection="1">
      <alignment horizontal="left" vertical="center" wrapText="1" shrinkToFit="1"/>
    </xf>
    <xf numFmtId="38" fontId="40" fillId="0" borderId="11" xfId="2" applyFont="1" applyFill="1" applyBorder="1" applyAlignment="1" applyProtection="1">
      <alignment horizontal="left" vertical="center" wrapText="1" shrinkToFit="1"/>
    </xf>
    <xf numFmtId="0" fontId="2" fillId="0" borderId="0"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6" fillId="0" borderId="10" xfId="0" applyFont="1" applyBorder="1" applyAlignment="1" applyProtection="1">
      <alignment vertical="center"/>
      <protection locked="0"/>
    </xf>
    <xf numFmtId="0" fontId="6" fillId="0" borderId="16" xfId="0" applyFont="1" applyBorder="1" applyAlignment="1" applyProtection="1">
      <alignment vertical="center"/>
      <protection locked="0"/>
    </xf>
    <xf numFmtId="0" fontId="6" fillId="0" borderId="11" xfId="0" applyFont="1" applyBorder="1" applyAlignment="1" applyProtection="1">
      <alignment vertical="center"/>
      <protection locked="0"/>
    </xf>
    <xf numFmtId="38" fontId="2" fillId="0" borderId="4" xfId="3"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173" fillId="0" borderId="16" xfId="0" applyFont="1" applyBorder="1" applyAlignment="1">
      <alignment vertical="center" wrapText="1"/>
    </xf>
    <xf numFmtId="0" fontId="173" fillId="0" borderId="11" xfId="0" applyFont="1" applyBorder="1" applyAlignment="1">
      <alignment vertical="center" wrapText="1"/>
    </xf>
  </cellXfs>
  <cellStyles count="13">
    <cellStyle name="パーセント 2" xfId="6" xr:uid="{00000000-0005-0000-0000-000000000000}"/>
    <cellStyle name="桁区切り" xfId="3" builtinId="6"/>
    <cellStyle name="桁区切り 2" xfId="2" xr:uid="{00000000-0005-0000-0000-000002000000}"/>
    <cellStyle name="桁区切り 2 2" xfId="8" xr:uid="{00000000-0005-0000-0000-000003000000}"/>
    <cellStyle name="桁区切り 2 2 2" xfId="12" xr:uid="{00000000-0005-0000-0000-000004000000}"/>
    <cellStyle name="桁区切り 3" xfId="7" xr:uid="{00000000-0005-0000-0000-000005000000}"/>
    <cellStyle name="標準" xfId="0" builtinId="0"/>
    <cellStyle name="標準 2" xfId="1" xr:uid="{00000000-0005-0000-0000-000007000000}"/>
    <cellStyle name="標準 2 2" xfId="10" xr:uid="{00000000-0005-0000-0000-000008000000}"/>
    <cellStyle name="標準 3" xfId="5" xr:uid="{00000000-0005-0000-0000-000009000000}"/>
    <cellStyle name="標準 4" xfId="9" xr:uid="{00000000-0005-0000-0000-00000A000000}"/>
    <cellStyle name="標準 6" xfId="11" xr:uid="{00000000-0005-0000-0000-00000B000000}"/>
    <cellStyle name="標準 8" xfId="4" xr:uid="{00000000-0005-0000-0000-00000C000000}"/>
  </cellStyles>
  <dxfs count="568">
    <dxf>
      <font>
        <b/>
        <i val="0"/>
      </font>
      <fill>
        <patternFill>
          <bgColor rgb="FFCCFFFF"/>
        </patternFill>
      </fill>
    </dxf>
    <dxf>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fgColor theme="7" tint="0.79992065187536243"/>
          <bgColor rgb="FFFFFFCD"/>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font>
      <fill>
        <patternFill>
          <bgColor rgb="FFFFFFCC"/>
        </patternFill>
      </fill>
    </dxf>
    <dxf>
      <font>
        <b/>
        <i val="0"/>
      </font>
      <fill>
        <patternFill>
          <bgColor rgb="FFFFFFCC"/>
        </patternFill>
      </fill>
    </dxf>
    <dxf>
      <font>
        <b/>
        <i val="0"/>
      </font>
      <fill>
        <patternFill>
          <bgColor rgb="FFFFFFCC"/>
        </patternFill>
      </fill>
    </dxf>
    <dxf>
      <font>
        <b/>
        <i val="0"/>
      </font>
      <fill>
        <patternFill>
          <bgColor rgb="FFCCFFFF"/>
        </patternFill>
      </fill>
    </dxf>
    <dxf>
      <font>
        <b/>
        <i val="0"/>
      </font>
      <fill>
        <patternFill>
          <bgColor rgb="FFFFFFCC"/>
        </patternFill>
      </fill>
    </dxf>
    <dxf>
      <fill>
        <patternFill>
          <bgColor rgb="FFFFFFCC"/>
        </patternFill>
      </fill>
    </dxf>
    <dxf>
      <font>
        <b/>
        <i val="0"/>
      </font>
      <fill>
        <patternFill>
          <bgColor rgb="FFFFFFCC"/>
        </patternFill>
      </fill>
    </dxf>
    <dxf>
      <font>
        <b/>
        <i val="0"/>
      </font>
      <fill>
        <patternFill>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66FF"/>
        </patternFill>
      </fill>
    </dxf>
    <dxf>
      <fill>
        <patternFill>
          <bgColor theme="7" tint="0.59996337778862885"/>
        </patternFill>
      </fill>
    </dxf>
    <dxf>
      <fill>
        <patternFill>
          <bgColor theme="7" tint="0.59996337778862885"/>
        </patternFill>
      </fill>
    </dxf>
    <dxf>
      <fill>
        <patternFill>
          <bgColor rgb="FFFF66FF"/>
        </patternFill>
      </fill>
    </dxf>
    <dxf>
      <fill>
        <patternFill>
          <bgColor theme="7" tint="0.59996337778862885"/>
        </patternFill>
      </fill>
    </dxf>
    <dxf>
      <fill>
        <patternFill>
          <bgColor rgb="FFFF0000"/>
        </patternFill>
      </fill>
    </dxf>
    <dxf>
      <font>
        <color rgb="FF9C0006"/>
      </font>
      <fill>
        <patternFill>
          <bgColor rgb="FFFFC7CE"/>
        </patternFill>
      </fill>
    </dxf>
    <dxf>
      <font>
        <color theme="0"/>
      </font>
      <fill>
        <patternFill>
          <bgColor rgb="FFFF00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strike val="0"/>
        <color theme="0" tint="-4.9989318521683403E-2"/>
      </font>
    </dxf>
    <dxf>
      <font>
        <color rgb="FF9C0006"/>
      </font>
      <fill>
        <patternFill>
          <bgColor rgb="FFFFC7CE"/>
        </patternFill>
      </fill>
    </dxf>
    <dxf>
      <font>
        <color theme="0" tint="-4.9989318521683403E-2"/>
      </font>
    </dxf>
    <dxf>
      <fill>
        <patternFill>
          <bgColor theme="7" tint="0.59996337778862885"/>
        </patternFill>
      </fill>
    </dxf>
    <dxf>
      <font>
        <color theme="0"/>
      </font>
      <fill>
        <patternFill>
          <bgColor rgb="FFFF00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fill>
        <patternFill>
          <bgColor rgb="FFFF0000"/>
        </patternFill>
      </fill>
    </dxf>
    <dxf>
      <font>
        <color theme="0" tint="-4.9989318521683403E-2"/>
      </font>
    </dxf>
    <dxf>
      <fill>
        <patternFill>
          <bgColor theme="7" tint="0.59996337778862885"/>
        </patternFill>
      </fill>
    </dxf>
    <dxf>
      <fill>
        <patternFill>
          <bgColor theme="7" tint="0.59996337778862885"/>
        </patternFill>
      </fill>
    </dxf>
    <dxf>
      <font>
        <color rgb="FF9C0006"/>
      </font>
      <fill>
        <patternFill>
          <bgColor rgb="FFFFC7CE"/>
        </patternFill>
      </fill>
    </dxf>
    <dxf>
      <font>
        <color theme="0"/>
      </font>
      <fill>
        <patternFill>
          <bgColor rgb="FFFF0000"/>
        </patternFill>
      </fill>
    </dxf>
    <dxf>
      <fill>
        <patternFill>
          <bgColor theme="7" tint="0.59996337778862885"/>
        </patternFill>
      </fill>
    </dxf>
    <dxf>
      <fill>
        <patternFill>
          <bgColor rgb="FFFF66FF"/>
        </patternFill>
      </fill>
    </dxf>
    <dxf>
      <numFmt numFmtId="188" formatCode="g/&quot;標&quot;&quot;準&quot;"/>
      <fill>
        <patternFill>
          <bgColor rgb="FFFFE699"/>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rgb="FF9C0006"/>
      </font>
      <fill>
        <patternFill>
          <bgColor rgb="FFFFC7CE"/>
        </patternFill>
      </fill>
    </dxf>
    <dxf>
      <font>
        <strike val="0"/>
        <color theme="0" tint="-4.9989318521683403E-2"/>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b/>
        <i val="0"/>
        <color theme="0"/>
      </font>
      <fill>
        <patternFill>
          <bgColor rgb="FFFF0000"/>
        </patternFill>
      </fill>
    </dxf>
    <dxf>
      <fill>
        <patternFill>
          <bgColor theme="7" tint="0.59996337778862885"/>
        </patternFill>
      </fill>
    </dxf>
    <dxf>
      <font>
        <color rgb="FF9C0006"/>
      </font>
      <fill>
        <patternFill>
          <bgColor rgb="FFFFC7CE"/>
        </patternFill>
      </fill>
    </dxf>
    <dxf>
      <fill>
        <patternFill>
          <bgColor theme="7" tint="0.59996337778862885"/>
        </patternFill>
      </fill>
    </dxf>
    <dxf>
      <fill>
        <patternFill>
          <bgColor theme="7" tint="0.59996337778862885"/>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6" tint="0.59996337778862885"/>
        </patternFill>
      </fill>
    </dxf>
    <dxf>
      <font>
        <b/>
        <i val="0"/>
        <color rgb="FFFF0000"/>
      </font>
      <fill>
        <patternFill>
          <bgColor rgb="FFFFC7CE"/>
        </patternFill>
      </fill>
    </dxf>
    <dxf>
      <font>
        <color theme="0" tint="-0.14996795556505021"/>
      </font>
    </dxf>
    <dxf>
      <font>
        <color theme="1"/>
      </font>
      <fill>
        <patternFill>
          <bgColor rgb="FFFF3300"/>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auto="1"/>
      </font>
      <fill>
        <patternFill patternType="solid">
          <fgColor auto="1"/>
          <bgColor rgb="FFFF0000"/>
        </patternFill>
      </fill>
    </dxf>
    <dxf>
      <font>
        <color theme="0" tint="-0.14996795556505021"/>
      </font>
    </dxf>
    <dxf>
      <font>
        <color theme="0" tint="-0.14996795556505021"/>
      </font>
    </dxf>
    <dxf>
      <fill>
        <patternFill>
          <bgColor theme="0" tint="-0.14996795556505021"/>
        </patternFill>
      </fill>
    </dxf>
    <dxf>
      <font>
        <color rgb="FF9C0006"/>
      </font>
      <fill>
        <patternFill>
          <bgColor rgb="FFFFC7CE"/>
        </patternFill>
      </fill>
    </dxf>
    <dxf>
      <fill>
        <patternFill>
          <bgColor theme="6" tint="0.59996337778862885"/>
        </patternFill>
      </fill>
    </dxf>
    <dxf>
      <fill>
        <patternFill>
          <bgColor theme="6" tint="0.59996337778862885"/>
        </patternFill>
      </fill>
    </dxf>
    <dxf>
      <font>
        <color rgb="FF9C0006"/>
      </font>
      <fill>
        <patternFill>
          <bgColor rgb="FFFFC7CE"/>
        </patternFill>
      </fill>
    </dxf>
    <dxf>
      <fill>
        <patternFill>
          <bgColor theme="0" tint="-0.14996795556505021"/>
        </patternFill>
      </fill>
    </dxf>
    <dxf>
      <fill>
        <patternFill>
          <bgColor theme="6" tint="0.59996337778862885"/>
        </patternFill>
      </fill>
    </dxf>
    <dxf>
      <font>
        <color rgb="FF9C0006"/>
      </font>
      <fill>
        <patternFill>
          <bgColor rgb="FFFFC7CE"/>
        </patternFill>
      </fill>
    </dxf>
    <dxf>
      <font>
        <b/>
        <i val="0"/>
        <color rgb="FFFF0000"/>
      </font>
      <fill>
        <patternFill>
          <bgColor rgb="FFFFC7CE"/>
        </patternFill>
      </fill>
    </dxf>
    <dxf>
      <font>
        <b/>
        <i val="0"/>
        <color rgb="FFFF0000"/>
      </font>
      <fill>
        <patternFill>
          <bgColor rgb="FFFFC7CE"/>
        </patternFill>
      </fill>
    </dxf>
    <dxf>
      <fill>
        <patternFill>
          <bgColor theme="7" tint="0.59996337778862885"/>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6" tint="0.59996337778862885"/>
        </patternFill>
      </fill>
    </dxf>
    <dxf>
      <fill>
        <patternFill>
          <bgColor theme="0" tint="-0.14996795556505021"/>
        </patternFill>
      </fill>
    </dxf>
    <dxf>
      <font>
        <color theme="2" tint="-0.24994659260841701"/>
      </font>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ont>
        <color theme="0" tint="-0.14996795556505021"/>
      </font>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6" tint="0.59996337778862885"/>
        </patternFill>
      </fill>
    </dxf>
    <dxf>
      <font>
        <color theme="0" tint="-0.14996795556505021"/>
      </font>
    </dxf>
    <dxf>
      <fill>
        <patternFill>
          <bgColor theme="6" tint="0.59996337778862885"/>
        </patternFill>
      </fill>
    </dxf>
    <dxf>
      <font>
        <b/>
        <i val="0"/>
        <strike val="0"/>
        <color rgb="FFFF0000"/>
      </font>
      <fill>
        <patternFill patternType="solid">
          <bgColor theme="5" tint="0.39994506668294322"/>
        </patternFill>
      </fill>
    </dxf>
    <dxf>
      <fill>
        <patternFill>
          <bgColor theme="0" tint="-0.14996795556505021"/>
        </patternFill>
      </fill>
    </dxf>
    <dxf>
      <fill>
        <patternFill>
          <bgColor theme="0" tint="-0.14996795556505021"/>
        </patternFill>
      </fill>
    </dxf>
    <dxf>
      <fill>
        <patternFill>
          <bgColor theme="7" tint="0.59996337778862885"/>
        </patternFill>
      </fill>
    </dxf>
    <dxf>
      <font>
        <color theme="0" tint="-0.14996795556505021"/>
      </font>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ill>
        <patternFill>
          <bgColor theme="7" tint="0.59996337778862885"/>
        </patternFill>
      </fill>
    </dxf>
    <dxf>
      <fill>
        <patternFill>
          <bgColor theme="0" tint="-0.14996795556505021"/>
        </patternFill>
      </fill>
    </dxf>
    <dxf>
      <fill>
        <patternFill>
          <bgColor theme="0" tint="-0.14996795556505021"/>
        </patternFill>
      </fill>
    </dxf>
    <dxf>
      <font>
        <color theme="0" tint="-0.14996795556505021"/>
      </font>
    </dxf>
    <dxf>
      <font>
        <color theme="0" tint="-0.14996795556505021"/>
      </font>
    </dxf>
    <dxf>
      <fill>
        <patternFill>
          <bgColor theme="0" tint="-0.14996795556505021"/>
        </patternFill>
      </fill>
    </dxf>
    <dxf>
      <fill>
        <patternFill>
          <bgColor theme="6" tint="0.59996337778862885"/>
        </patternFill>
      </fill>
    </dxf>
    <dxf>
      <fill>
        <patternFill>
          <bgColor theme="7" tint="0.59996337778862885"/>
        </patternFill>
      </fill>
    </dxf>
    <dxf>
      <fill>
        <patternFill>
          <bgColor theme="0" tint="-0.14996795556505021"/>
        </patternFill>
      </fill>
    </dxf>
    <dxf>
      <fill>
        <patternFill>
          <bgColor theme="7"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ont>
        <color theme="0" tint="-0.14996795556505021"/>
      </font>
    </dxf>
    <dxf>
      <fill>
        <patternFill>
          <bgColor theme="0" tint="-0.14996795556505021"/>
        </patternFill>
      </fill>
    </dxf>
    <dxf>
      <fill>
        <patternFill>
          <bgColor rgb="FFFF0000"/>
        </patternFill>
      </fill>
    </dxf>
    <dxf>
      <fill>
        <patternFill>
          <bgColor theme="7" tint="0.59996337778862885"/>
        </patternFill>
      </fill>
    </dxf>
    <dxf>
      <fill>
        <patternFill>
          <bgColor theme="7" tint="0.59996337778862885"/>
        </patternFill>
      </fill>
    </dxf>
    <dxf>
      <font>
        <b/>
        <i val="0"/>
        <color rgb="FFFF0000"/>
      </font>
    </dxf>
    <dxf>
      <font>
        <color theme="0" tint="-0.14996795556505021"/>
      </font>
    </dxf>
    <dxf>
      <fill>
        <patternFill>
          <bgColor theme="0" tint="-0.14996795556505021"/>
        </patternFill>
      </fill>
    </dxf>
    <dxf>
      <fill>
        <patternFill>
          <bgColor theme="0" tint="-0.14996795556505021"/>
        </patternFill>
      </fill>
    </dxf>
    <dxf>
      <font>
        <b/>
        <i val="0"/>
        <color rgb="FFFF3300"/>
      </font>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ont>
        <color theme="0" tint="-0.14996795556505021"/>
      </font>
    </dxf>
    <dxf>
      <fill>
        <patternFill>
          <bgColor theme="0" tint="-0.14996795556505021"/>
        </patternFill>
      </fill>
    </dxf>
    <dxf>
      <font>
        <color theme="0" tint="-0.14996795556505021"/>
      </font>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7" tint="0.59996337778862885"/>
        </patternFill>
      </fill>
    </dxf>
    <dxf>
      <fill>
        <patternFill>
          <bgColor theme="0" tint="-0.14996795556505021"/>
        </patternFill>
      </fill>
    </dxf>
    <dxf>
      <font>
        <color theme="0" tint="-0.14996795556505021"/>
      </font>
    </dxf>
    <dxf>
      <fill>
        <patternFill>
          <bgColor theme="0" tint="-0.14996795556505021"/>
        </patternFill>
      </fill>
    </dxf>
    <dxf>
      <font>
        <color theme="0" tint="-0.14996795556505021"/>
      </font>
    </dxf>
    <dxf>
      <fill>
        <patternFill>
          <bgColor theme="7" tint="0.59996337778862885"/>
        </patternFill>
      </fill>
    </dxf>
    <dxf>
      <fill>
        <patternFill>
          <bgColor rgb="FFFF66FF"/>
        </patternFill>
      </fill>
    </dxf>
    <dxf>
      <fill>
        <patternFill>
          <bgColor theme="7" tint="0.59996337778862885"/>
        </patternFill>
      </fill>
    </dxf>
    <dxf>
      <fill>
        <patternFill>
          <bgColor theme="0" tint="-0.14996795556505021"/>
        </patternFill>
      </fill>
    </dxf>
    <dxf>
      <font>
        <color theme="0" tint="-0.14996795556505021"/>
      </font>
    </dxf>
    <dxf>
      <fill>
        <patternFill>
          <bgColor theme="0" tint="-0.14996795556505021"/>
        </patternFill>
      </fill>
    </dxf>
    <dxf>
      <font>
        <color theme="0" tint="-0.14996795556505021"/>
      </font>
    </dxf>
    <dxf>
      <font>
        <color theme="0" tint="-0.14996795556505021"/>
      </font>
    </dxf>
    <dxf>
      <fill>
        <patternFill>
          <bgColor theme="0" tint="-0.14996795556505021"/>
        </patternFill>
      </fill>
    </dxf>
    <dxf>
      <fill>
        <patternFill>
          <bgColor theme="0" tint="-0.14996795556505021"/>
        </patternFill>
      </fill>
    </dxf>
    <dxf>
      <font>
        <color theme="0" tint="-0.14996795556505021"/>
      </font>
    </dxf>
    <dxf>
      <font>
        <b/>
        <i val="0"/>
      </font>
      <fill>
        <patternFill>
          <bgColor rgb="FFFF3300"/>
        </patternFill>
      </fill>
    </dxf>
    <dxf>
      <fill>
        <patternFill>
          <bgColor theme="7" tint="0.59996337778862885"/>
        </patternFill>
      </fill>
    </dxf>
    <dxf>
      <font>
        <b/>
        <i val="0"/>
        <color rgb="FFFF0000"/>
      </font>
      <fill>
        <patternFill patternType="solid">
          <fgColor auto="1"/>
          <bgColor rgb="FFFFCCFF"/>
        </patternFill>
      </fill>
    </dxf>
    <dxf>
      <fill>
        <patternFill>
          <bgColor theme="0" tint="-0.14996795556505021"/>
        </patternFill>
      </fill>
    </dxf>
    <dxf>
      <fill>
        <patternFill>
          <bgColor theme="0" tint="-0.14996795556505021"/>
        </patternFill>
      </fill>
    </dxf>
    <dxf>
      <fill>
        <patternFill>
          <fgColor rgb="FFFF66CC"/>
          <bgColor rgb="FFFF99FF"/>
        </patternFill>
      </fill>
    </dxf>
    <dxf>
      <font>
        <b/>
        <i val="0"/>
        <color rgb="FFFF0000"/>
      </font>
      <fill>
        <patternFill>
          <fgColor rgb="FFFF66CC"/>
        </patternFill>
      </fill>
    </dxf>
    <dxf>
      <fill>
        <patternFill>
          <bgColor theme="7" tint="0.59996337778862885"/>
        </patternFill>
      </fill>
    </dxf>
    <dxf>
      <font>
        <b/>
        <i val="0"/>
        <color rgb="FFFF0000"/>
      </font>
      <fill>
        <patternFill>
          <bgColor rgb="FFFFCCFF"/>
        </patternFill>
      </fill>
    </dxf>
    <dxf>
      <font>
        <b/>
        <i val="0"/>
        <color rgb="FFFF0000"/>
      </font>
    </dxf>
    <dxf>
      <fill>
        <patternFill>
          <bgColor rgb="FFFF99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59996337778862885"/>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ont>
        <b/>
        <i val="0"/>
        <color rgb="FFFF0000"/>
      </font>
      <fill>
        <patternFill>
          <bgColor rgb="FFFFCCFF"/>
        </patternFill>
      </fill>
    </dxf>
    <dxf>
      <fill>
        <patternFill>
          <bgColor rgb="FFFF99FF"/>
        </patternFill>
      </fill>
    </dxf>
    <dxf>
      <font>
        <b/>
        <i val="0"/>
        <color rgb="FFFF0000"/>
      </font>
    </dxf>
    <dxf>
      <fill>
        <patternFill>
          <bgColor theme="0" tint="-0.14996795556505021"/>
        </patternFill>
      </fill>
    </dxf>
    <dxf>
      <font>
        <b/>
        <i val="0"/>
        <color rgb="FFFF0000"/>
      </font>
      <fill>
        <patternFill>
          <bgColor theme="5"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6" tint="0.59996337778862885"/>
        </patternFill>
      </fill>
    </dxf>
    <dxf>
      <fill>
        <patternFill>
          <bgColor theme="7" tint="0.59996337778862885"/>
        </patternFill>
      </fill>
    </dxf>
    <dxf>
      <fill>
        <patternFill>
          <bgColor theme="6" tint="0.59996337778862885"/>
        </patternFill>
      </fill>
    </dxf>
    <dxf>
      <fill>
        <patternFill>
          <bgColor theme="0" tint="-0.1499679555650502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6" tint="0.59996337778862885"/>
        </patternFill>
      </fill>
    </dxf>
    <dxf>
      <fill>
        <patternFill>
          <bgColor theme="7" tint="0.59996337778862885"/>
        </patternFill>
      </fill>
    </dxf>
    <dxf>
      <fill>
        <patternFill>
          <bgColor theme="7" tint="0.59996337778862885"/>
        </patternFill>
      </fill>
    </dxf>
    <dxf>
      <fill>
        <patternFill>
          <bgColor theme="0" tint="-0.14996795556505021"/>
        </patternFill>
      </fill>
    </dxf>
    <dxf>
      <fill>
        <patternFill>
          <bgColor theme="0" tint="-0.14996795556505021"/>
        </patternFill>
      </fill>
    </dxf>
    <dxf>
      <fill>
        <patternFill>
          <bgColor theme="7" tint="0.59996337778862885"/>
        </patternFill>
      </fill>
    </dxf>
    <dxf>
      <fill>
        <patternFill>
          <bgColor theme="0" tint="-0.14996795556505021"/>
        </patternFill>
      </fill>
    </dxf>
    <dxf>
      <fill>
        <patternFill>
          <bgColor theme="7" tint="0.59996337778862885"/>
        </patternFill>
      </fill>
    </dxf>
    <dxf>
      <fill>
        <patternFill>
          <bgColor theme="7" tint="0.59996337778862885"/>
        </patternFill>
      </fill>
    </dxf>
    <dxf>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66FF"/>
        </patternFill>
      </fill>
    </dxf>
    <dxf>
      <font>
        <b/>
        <i val="0"/>
        <color rgb="FFFF0000"/>
      </font>
      <fill>
        <patternFill>
          <bgColor rgb="FFFFCCFF"/>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0" tint="-0.14996795556505021"/>
        </patternFill>
      </fill>
    </dxf>
    <dxf>
      <fill>
        <patternFill>
          <bgColor theme="7" tint="0.59996337778862885"/>
        </patternFill>
      </fill>
    </dxf>
    <dxf>
      <fill>
        <patternFill>
          <bgColor theme="7" tint="0.59996337778862885"/>
        </patternFill>
      </fill>
    </dxf>
    <dxf>
      <font>
        <color rgb="FF9C0006"/>
      </font>
      <fill>
        <patternFill>
          <bgColor rgb="FFFFC7CE"/>
        </patternFill>
      </fill>
    </dxf>
    <dxf>
      <font>
        <b/>
        <i val="0"/>
        <color rgb="FFFF0000"/>
      </font>
      <fill>
        <patternFill>
          <bgColor rgb="FFFFC7CE"/>
        </patternFill>
      </fill>
    </dxf>
    <dxf>
      <fill>
        <patternFill>
          <bgColor theme="7" tint="0.59996337778862885"/>
        </patternFill>
      </fill>
    </dxf>
    <dxf>
      <fill>
        <patternFill>
          <bgColor theme="7" tint="0.59996337778862885"/>
        </patternFill>
      </fill>
    </dxf>
    <dxf>
      <fill>
        <patternFill>
          <bgColor theme="0" tint="-0.14996795556505021"/>
        </patternFill>
      </fill>
    </dxf>
    <dxf>
      <fill>
        <patternFill>
          <bgColor theme="0" tint="-0.1499679555650502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0" tint="-0.14996795556505021"/>
        </patternFill>
      </fill>
    </dxf>
    <dxf>
      <fill>
        <patternFill>
          <bgColor theme="7" tint="0.59996337778862885"/>
        </patternFill>
      </fill>
    </dxf>
    <dxf>
      <fill>
        <patternFill>
          <bgColor theme="7" tint="0.59996337778862885"/>
        </patternFill>
      </fill>
    </dxf>
    <dxf>
      <font>
        <b val="0"/>
        <i val="0"/>
        <color theme="1" tint="0.499984740745262"/>
      </font>
      <fill>
        <patternFill>
          <bgColor theme="0" tint="-0.14996795556505021"/>
        </patternFill>
      </fill>
    </dxf>
    <dxf>
      <font>
        <color theme="0" tint="-0.499984740745262"/>
      </font>
      <fill>
        <patternFill>
          <bgColor theme="0" tint="-0.14996795556505021"/>
        </patternFill>
      </fill>
    </dxf>
    <dxf>
      <font>
        <color rgb="FF9C0006"/>
      </font>
      <fill>
        <patternFill>
          <bgColor rgb="FFFFC7CE"/>
        </patternFill>
      </fill>
    </dxf>
    <dxf>
      <fill>
        <patternFill>
          <bgColor theme="0" tint="-0.14996795556505021"/>
        </patternFill>
      </fill>
    </dxf>
    <dxf>
      <fill>
        <patternFill>
          <bgColor theme="6"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0" tint="-0.1499679555650502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b/>
        <i val="0"/>
      </font>
      <fill>
        <patternFill>
          <bgColor rgb="FFCCFFFF"/>
        </patternFill>
      </fill>
    </dxf>
    <dxf>
      <fill>
        <patternFill>
          <bgColor theme="7" tint="0.59996337778862885"/>
        </patternFill>
      </fill>
    </dxf>
    <dxf>
      <fill>
        <patternFill>
          <bgColor theme="0" tint="-0.1499679555650502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0" tint="-0.14996795556505021"/>
        </patternFill>
      </fill>
    </dxf>
    <dxf>
      <fill>
        <patternFill>
          <bgColor theme="7" tint="0.59996337778862885"/>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7" tint="0.59996337778862885"/>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b/>
        <i val="0"/>
        <color rgb="FFFF0000"/>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theme="7" tint="0.59996337778862885"/>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0" tint="-0.1499679555650502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b/>
        <i val="0"/>
      </font>
      <fill>
        <patternFill>
          <bgColor rgb="FFCCFFFF"/>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6"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fgColor theme="7" tint="0.79992065187536243"/>
          <bgColor rgb="FFFFFFCD"/>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7" tint="0.59996337778862885"/>
        </patternFill>
      </fill>
    </dxf>
    <dxf>
      <fill>
        <patternFill>
          <bgColor theme="0" tint="-0.14996795556505021"/>
        </patternFill>
      </fill>
    </dxf>
    <dxf>
      <fill>
        <patternFill>
          <bgColor rgb="FFFFFFCC"/>
        </patternFill>
      </fill>
    </dxf>
    <dxf>
      <fill>
        <patternFill>
          <bgColor theme="7" tint="0.59996337778862885"/>
        </patternFill>
      </fill>
    </dxf>
    <dxf>
      <fill>
        <patternFill>
          <bgColor theme="7" tint="0.59996337778862885"/>
        </patternFill>
      </fill>
    </dxf>
    <dxf>
      <fill>
        <patternFill>
          <bgColor theme="7" tint="0.59996337778862885"/>
        </patternFill>
      </fill>
    </dxf>
    <dxf>
      <font>
        <b/>
        <i val="0"/>
      </font>
      <fill>
        <patternFill>
          <bgColor rgb="FFFFFFCC"/>
        </patternFill>
      </fill>
    </dxf>
    <dxf>
      <font>
        <b/>
        <i val="0"/>
      </font>
      <fill>
        <patternFill>
          <bgColor rgb="FFFFFFCC"/>
        </patternFill>
      </fill>
    </dxf>
    <dxf>
      <font>
        <b/>
        <i val="0"/>
      </font>
      <fill>
        <patternFill>
          <bgColor rgb="FFFFFFCC"/>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0" tint="-0.1499679555650502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0" tint="-0.14996795556505021"/>
        </patternFill>
      </fill>
    </dxf>
    <dxf>
      <fill>
        <patternFill>
          <bgColor theme="7" tint="0.59996337778862885"/>
        </patternFill>
      </fill>
    </dxf>
    <dxf>
      <font>
        <color rgb="FF9C0006"/>
      </font>
      <fill>
        <patternFill>
          <bgColor rgb="FFFFC7CE"/>
        </patternFill>
      </fill>
    </dxf>
    <dxf>
      <font>
        <b/>
        <i val="0"/>
      </font>
      <fill>
        <patternFill>
          <bgColor rgb="FFCCFFFF"/>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fgColor rgb="FFFF66FF"/>
          <bgColor rgb="FFFF66FF"/>
        </patternFill>
      </fill>
    </dxf>
    <dxf>
      <fill>
        <patternFill>
          <bgColor rgb="FFFF99FF"/>
        </patternFill>
      </fill>
    </dxf>
    <dxf>
      <fill>
        <patternFill>
          <bgColor theme="7" tint="0.59996337778862885"/>
        </patternFill>
      </fill>
    </dxf>
    <dxf>
      <fill>
        <patternFill>
          <bgColor rgb="FFFFFFCC"/>
        </patternFill>
      </fill>
    </dxf>
    <dxf>
      <fill>
        <patternFill>
          <bgColor theme="7" tint="0.59996337778862885"/>
        </patternFill>
      </fill>
    </dxf>
    <dxf>
      <font>
        <color rgb="FFFF66CC"/>
      </font>
      <fill>
        <patternFill>
          <bgColor rgb="FFFFCCFF"/>
        </patternFill>
      </fill>
    </dxf>
    <dxf>
      <font>
        <b/>
        <i val="0"/>
      </font>
      <fill>
        <patternFill>
          <bgColor rgb="FFFFFFCC"/>
        </patternFill>
      </fill>
    </dxf>
    <dxf>
      <fill>
        <patternFill>
          <bgColor rgb="FFFFFFCC"/>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b/>
        <i val="0"/>
      </font>
      <fill>
        <patternFill>
          <bgColor rgb="FFFFFFCC"/>
        </patternFill>
      </fill>
    </dxf>
    <dxf>
      <font>
        <b/>
        <i val="0"/>
      </font>
      <fill>
        <patternFill>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3300"/>
      </font>
      <fill>
        <patternFill>
          <bgColor rgb="FFFF66FF"/>
        </patternFill>
      </fill>
    </dxf>
    <dxf>
      <fill>
        <patternFill>
          <bgColor rgb="FFFF99FF"/>
        </patternFill>
      </fill>
    </dxf>
    <dxf>
      <fill>
        <patternFill>
          <bgColor theme="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rgb="FFFFFFCC"/>
        </patternFill>
      </fill>
    </dxf>
    <dxf>
      <font>
        <color rgb="FF9C0006"/>
      </font>
      <fill>
        <patternFill>
          <bgColor rgb="FFFFC7CE"/>
        </patternFill>
      </fill>
    </dxf>
    <dxf>
      <font>
        <color rgb="FF9C0006"/>
      </font>
      <fill>
        <patternFill>
          <bgColor rgb="FFFF66FF"/>
        </patternFill>
      </fill>
    </dxf>
    <dxf>
      <fill>
        <patternFill>
          <bgColor theme="7" tint="0.59996337778862885"/>
        </patternFill>
      </fill>
    </dxf>
    <dxf>
      <fill>
        <patternFill>
          <bgColor rgb="FFFFCCFF"/>
        </patternFill>
      </fill>
    </dxf>
    <dxf>
      <fill>
        <patternFill>
          <bgColor theme="7" tint="0.59996337778862885"/>
        </patternFill>
      </fill>
    </dxf>
    <dxf>
      <font>
        <color rgb="FF9C0006"/>
      </font>
      <fill>
        <patternFill>
          <bgColor rgb="FFFFC7CE"/>
        </patternFill>
      </fill>
    </dxf>
    <dxf>
      <font>
        <color rgb="FFFF0000"/>
      </font>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8CBAD"/>
      <color rgb="FFFFE699"/>
      <color rgb="FFFFFFCC"/>
      <color rgb="FFCCECFF"/>
      <color rgb="FFFFFFDD"/>
      <color rgb="FFFFFFAF"/>
      <color rgb="FFCCCCFF"/>
      <color rgb="FFFFFFCD"/>
      <color rgb="FFFF66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AK$195" lockText="1" noThreeD="1"/>
</file>

<file path=xl/ctrlProps/ctrlProp2.xml><?xml version="1.0" encoding="utf-8"?>
<formControlPr xmlns="http://schemas.microsoft.com/office/spreadsheetml/2009/9/main" objectType="CheckBox" fmlaLink="$AL$195" noThreeD="1"/>
</file>

<file path=xl/ctrlProps/ctrlProp3.xml><?xml version="1.0" encoding="utf-8"?>
<formControlPr xmlns="http://schemas.microsoft.com/office/spreadsheetml/2009/9/main" objectType="CheckBox" fmlaLink="$T$45" lockText="1" noThreeD="1"/>
</file>

<file path=xl/ctrlProps/ctrlProp4.xml><?xml version="1.0" encoding="utf-8"?>
<formControlPr xmlns="http://schemas.microsoft.com/office/spreadsheetml/2009/9/main" objectType="CheckBox" fmlaLink="$T$46"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noThreeD="1"/>
</file>

<file path=xl/drawings/drawing1.xml><?xml version="1.0" encoding="utf-8"?>
<xdr:wsDr xmlns:xdr="http://schemas.openxmlformats.org/drawingml/2006/spreadsheetDrawing" xmlns:a="http://schemas.openxmlformats.org/drawingml/2006/main">
  <xdr:twoCellAnchor>
    <xdr:from>
      <xdr:col>28</xdr:col>
      <xdr:colOff>0</xdr:colOff>
      <xdr:row>6</xdr:row>
      <xdr:rowOff>31749</xdr:rowOff>
    </xdr:from>
    <xdr:to>
      <xdr:col>29</xdr:col>
      <xdr:colOff>257174</xdr:colOff>
      <xdr:row>9</xdr:row>
      <xdr:rowOff>126999</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6223000" y="888999"/>
          <a:ext cx="320674" cy="762000"/>
        </a:xfrm>
        <a:prstGeom prst="rightBrace">
          <a:avLst>
            <a:gd name="adj1" fmla="val 833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187326</xdr:colOff>
      <xdr:row>5</xdr:row>
      <xdr:rowOff>76200</xdr:rowOff>
    </xdr:from>
    <xdr:to>
      <xdr:col>29</xdr:col>
      <xdr:colOff>2654300</xdr:colOff>
      <xdr:row>12</xdr:row>
      <xdr:rowOff>254000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473826" y="800100"/>
          <a:ext cx="2466974" cy="16319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chemeClr val="tx1"/>
              </a:solidFill>
            </a:rPr>
            <a:t>※</a:t>
          </a:r>
          <a:r>
            <a:rPr kumimoji="1" lang="ja-JP" altLang="en-US" sz="1100" b="1">
              <a:solidFill>
                <a:schemeClr val="tx1"/>
              </a:solidFill>
            </a:rPr>
            <a:t>「名称」と「代表者名」は申請書から転記されます入力不要。</a:t>
          </a:r>
        </a:p>
        <a:p>
          <a:pPr algn="l"/>
          <a:r>
            <a:rPr kumimoji="1" lang="en-US" altLang="ja-JP" sz="1100" b="1">
              <a:solidFill>
                <a:schemeClr val="tx1"/>
              </a:solidFill>
            </a:rPr>
            <a:t>※</a:t>
          </a:r>
          <a:r>
            <a:rPr kumimoji="1" lang="ja-JP" altLang="en-US" sz="1100" b="1">
              <a:solidFill>
                <a:schemeClr val="tx1"/>
              </a:solidFill>
            </a:rPr>
            <a:t> 転記されたことを確認の上で印刷し、且つ記載内容をよく確認・理解した後に、ご提出ください。</a:t>
          </a:r>
        </a:p>
      </xdr:txBody>
    </xdr:sp>
    <xdr:clientData/>
  </xdr:twoCellAnchor>
  <xdr:twoCellAnchor>
    <xdr:from>
      <xdr:col>28</xdr:col>
      <xdr:colOff>41274</xdr:colOff>
      <xdr:row>1</xdr:row>
      <xdr:rowOff>0</xdr:rowOff>
    </xdr:from>
    <xdr:to>
      <xdr:col>29</xdr:col>
      <xdr:colOff>2698750</xdr:colOff>
      <xdr:row>5</xdr:row>
      <xdr:rowOff>6350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264274" y="101600"/>
          <a:ext cx="2720976" cy="6286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「申請前確認書」は記入個所はありません。</a:t>
          </a:r>
        </a:p>
      </xdr:txBody>
    </xdr:sp>
    <xdr:clientData/>
  </xdr:twoCellAnchor>
  <xdr:twoCellAnchor>
    <xdr:from>
      <xdr:col>28</xdr:col>
      <xdr:colOff>31750</xdr:colOff>
      <xdr:row>37</xdr:row>
      <xdr:rowOff>482600</xdr:rowOff>
    </xdr:from>
    <xdr:to>
      <xdr:col>29</xdr:col>
      <xdr:colOff>1443565</xdr:colOff>
      <xdr:row>38</xdr:row>
      <xdr:rowOff>2469</xdr:rowOff>
    </xdr:to>
    <xdr:sp macro="" textlink="">
      <xdr:nvSpPr>
        <xdr:cNvPr id="5" name="正方形/長方形 4">
          <a:extLst>
            <a:ext uri="{FF2B5EF4-FFF2-40B4-BE49-F238E27FC236}">
              <a16:creationId xmlns:a16="http://schemas.microsoft.com/office/drawing/2014/main" id="{00000000-0008-0000-0000-000006000000}"/>
            </a:ext>
          </a:extLst>
        </xdr:cNvPr>
        <xdr:cNvSpPr/>
      </xdr:nvSpPr>
      <xdr:spPr>
        <a:xfrm>
          <a:off x="6254750" y="9848850"/>
          <a:ext cx="1468965" cy="783519"/>
        </a:xfrm>
        <a:prstGeom prst="rect">
          <a:avLst/>
        </a:prstGeom>
        <a:solidFill>
          <a:srgbClr val="FFFFCC"/>
        </a:solidFill>
        <a:ln w="19050">
          <a:solidFill>
            <a:srgbClr val="FF0000"/>
          </a:solidFill>
          <a:prstDash val="dash"/>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a:solidFill>
                <a:srgbClr val="FF0000"/>
              </a:solidFill>
              <a:effectLst/>
              <a:latin typeface="ＭＳ ゴシック" panose="020B0609070205080204" pitchFamily="49" charset="-128"/>
              <a:ea typeface="ＭＳ ゴシック" panose="020B0609070205080204" pitchFamily="49" charset="-128"/>
              <a:cs typeface="+mn-cs"/>
            </a:rPr>
            <a:t>頁末尾の「以上」まで表示されていることを必ず確認ください。</a:t>
          </a:r>
          <a:endParaRPr kumimoji="1" lang="en-US" altLang="ja-JP" sz="900" b="0">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48358</xdr:colOff>
      <xdr:row>9</xdr:row>
      <xdr:rowOff>32971</xdr:rowOff>
    </xdr:from>
    <xdr:to>
      <xdr:col>29</xdr:col>
      <xdr:colOff>5861</xdr:colOff>
      <xdr:row>12</xdr:row>
      <xdr:rowOff>194896</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6281127" y="1420202"/>
          <a:ext cx="323849" cy="1300040"/>
        </a:xfrm>
        <a:prstGeom prst="rightBrace">
          <a:avLst>
            <a:gd name="adj1" fmla="val 2303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361949</xdr:colOff>
      <xdr:row>9</xdr:row>
      <xdr:rowOff>194078</xdr:rowOff>
    </xdr:from>
    <xdr:to>
      <xdr:col>36</xdr:col>
      <xdr:colOff>285750</xdr:colOff>
      <xdr:row>11</xdr:row>
      <xdr:rowOff>236220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541769" y="1588538"/>
          <a:ext cx="2484121" cy="72794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「６ 申請者の概要」欄から転記</a:t>
          </a:r>
          <a:br>
            <a:rPr kumimoji="1" lang="ja-JP" altLang="en-US" sz="1100" b="1">
              <a:solidFill>
                <a:schemeClr val="tx1"/>
              </a:solidFill>
              <a:latin typeface="ＭＳ ゴシック" panose="020B0609070205080204" pitchFamily="49" charset="-128"/>
              <a:ea typeface="ＭＳ ゴシック" panose="020B0609070205080204" pitchFamily="49" charset="-128"/>
            </a:rPr>
          </a:br>
          <a:r>
            <a:rPr kumimoji="1" lang="ja-JP" altLang="en-US" sz="1100" b="1">
              <a:solidFill>
                <a:schemeClr val="tx1"/>
              </a:solidFill>
              <a:latin typeface="ＭＳ ゴシック" panose="020B0609070205080204" pitchFamily="49" charset="-128"/>
              <a:ea typeface="ＭＳ ゴシック" panose="020B0609070205080204" pitchFamily="49" charset="-128"/>
            </a:rPr>
            <a:t>されます／　 入力不要</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56418</xdr:colOff>
      <xdr:row>22</xdr:row>
      <xdr:rowOff>4886</xdr:rowOff>
    </xdr:from>
    <xdr:to>
      <xdr:col>29</xdr:col>
      <xdr:colOff>13921</xdr:colOff>
      <xdr:row>23</xdr:row>
      <xdr:rowOff>4886</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279418" y="4024436"/>
          <a:ext cx="325803" cy="304800"/>
        </a:xfrm>
        <a:prstGeom prst="rightBrace">
          <a:avLst>
            <a:gd name="adj1" fmla="val 8333"/>
            <a:gd name="adj2" fmla="val 47303"/>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4616</xdr:colOff>
      <xdr:row>21</xdr:row>
      <xdr:rowOff>85725</xdr:rowOff>
    </xdr:from>
    <xdr:to>
      <xdr:col>36</xdr:col>
      <xdr:colOff>374650</xdr:colOff>
      <xdr:row>25</xdr:row>
      <xdr:rowOff>224118</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563792" y="3761254"/>
          <a:ext cx="2543976" cy="73604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solidFill>
                <a:schemeClr val="tx1"/>
              </a:solidFill>
              <a:latin typeface="ＭＳ ゴシック" panose="020B0609070205080204" pitchFamily="49" charset="-128"/>
              <a:ea typeface="ＭＳ ゴシック" panose="020B0609070205080204" pitchFamily="49" charset="-128"/>
            </a:rPr>
            <a:t>40</a:t>
          </a:r>
          <a:r>
            <a:rPr kumimoji="1" lang="ja-JP" altLang="en-US" sz="1100" b="1">
              <a:solidFill>
                <a:schemeClr val="tx1"/>
              </a:solidFill>
              <a:latin typeface="ＭＳ ゴシック" panose="020B0609070205080204" pitchFamily="49" charset="-128"/>
              <a:ea typeface="ＭＳ ゴシック" panose="020B0609070205080204" pitchFamily="49" charset="-128"/>
            </a:rPr>
            <a:t>字以内で記入ください</a:t>
          </a:r>
          <a:br>
            <a:rPr kumimoji="1" lang="ja-JP" altLang="en-US" sz="1100" b="1">
              <a:solidFill>
                <a:schemeClr val="tx1"/>
              </a:solidFill>
              <a:latin typeface="ＭＳ ゴシック" panose="020B0609070205080204" pitchFamily="49" charset="-128"/>
              <a:ea typeface="ＭＳ ゴシック" panose="020B0609070205080204" pitchFamily="49" charset="-128"/>
            </a:rPr>
          </a:br>
          <a:r>
            <a:rPr kumimoji="1" lang="ja-JP" altLang="en-US" sz="1100" b="1">
              <a:solidFill>
                <a:schemeClr val="tx1"/>
              </a:solidFill>
              <a:latin typeface="ＭＳ ゴシック" panose="020B0609070205080204" pitchFamily="49" charset="-128"/>
              <a:ea typeface="ＭＳ ゴシック" panose="020B0609070205080204" pitchFamily="49" charset="-128"/>
            </a:rPr>
            <a:t>（半角も</a:t>
          </a:r>
          <a:r>
            <a:rPr kumimoji="1" lang="en-US" altLang="ja-JP" sz="1100" b="1">
              <a:solidFill>
                <a:schemeClr val="tx1"/>
              </a:solidFill>
              <a:latin typeface="ＭＳ ゴシック" panose="020B0609070205080204" pitchFamily="49" charset="-128"/>
              <a:ea typeface="ＭＳ ゴシック" panose="020B0609070205080204" pitchFamily="49" charset="-128"/>
            </a:rPr>
            <a:t>1</a:t>
          </a:r>
          <a:r>
            <a:rPr kumimoji="1" lang="ja-JP" altLang="en-US" sz="1100" b="1">
              <a:solidFill>
                <a:schemeClr val="tx1"/>
              </a:solidFill>
              <a:latin typeface="ＭＳ ゴシック" panose="020B0609070205080204" pitchFamily="49" charset="-128"/>
              <a:ea typeface="ＭＳ ゴシック" panose="020B0609070205080204" pitchFamily="49" charset="-128"/>
            </a:rPr>
            <a:t>文字ｶｳﾝﾄ）</a:t>
          </a:r>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採択時公表</a:t>
          </a:r>
        </a:p>
      </xdr:txBody>
    </xdr:sp>
    <xdr:clientData/>
  </xdr:twoCellAnchor>
  <xdr:twoCellAnchor>
    <xdr:from>
      <xdr:col>1</xdr:col>
      <xdr:colOff>76200</xdr:colOff>
      <xdr:row>141</xdr:row>
      <xdr:rowOff>209550</xdr:rowOff>
    </xdr:from>
    <xdr:to>
      <xdr:col>1</xdr:col>
      <xdr:colOff>247650</xdr:colOff>
      <xdr:row>142</xdr:row>
      <xdr:rowOff>228600</xdr:rowOff>
    </xdr:to>
    <xdr:sp macro="" textlink="">
      <xdr:nvSpPr>
        <xdr:cNvPr id="6" name="下矢印 5">
          <a:extLst>
            <a:ext uri="{FF2B5EF4-FFF2-40B4-BE49-F238E27FC236}">
              <a16:creationId xmlns:a16="http://schemas.microsoft.com/office/drawing/2014/main" id="{00000000-0008-0000-0100-000006000000}"/>
            </a:ext>
          </a:extLst>
        </xdr:cNvPr>
        <xdr:cNvSpPr/>
      </xdr:nvSpPr>
      <xdr:spPr>
        <a:xfrm>
          <a:off x="142875" y="32908875"/>
          <a:ext cx="171450" cy="247650"/>
        </a:xfrm>
        <a:prstGeom prst="downArrow">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solidFill>
              <a:schemeClr val="tx1"/>
            </a:solidFill>
          </a:endParaRPr>
        </a:p>
      </xdr:txBody>
    </xdr:sp>
    <xdr:clientData/>
  </xdr:twoCellAnchor>
  <xdr:twoCellAnchor>
    <xdr:from>
      <xdr:col>28</xdr:col>
      <xdr:colOff>76777</xdr:colOff>
      <xdr:row>59</xdr:row>
      <xdr:rowOff>129611</xdr:rowOff>
    </xdr:from>
    <xdr:to>
      <xdr:col>29</xdr:col>
      <xdr:colOff>32615</xdr:colOff>
      <xdr:row>63</xdr:row>
      <xdr:rowOff>52295</xdr:rowOff>
    </xdr:to>
    <xdr:sp macro="" textlink="">
      <xdr:nvSpPr>
        <xdr:cNvPr id="8" name="右中かっこ 7">
          <a:extLst>
            <a:ext uri="{FF2B5EF4-FFF2-40B4-BE49-F238E27FC236}">
              <a16:creationId xmlns:a16="http://schemas.microsoft.com/office/drawing/2014/main" id="{00000000-0008-0000-0100-000008000000}"/>
            </a:ext>
          </a:extLst>
        </xdr:cNvPr>
        <xdr:cNvSpPr/>
      </xdr:nvSpPr>
      <xdr:spPr>
        <a:xfrm>
          <a:off x="6680777" y="13322670"/>
          <a:ext cx="314426" cy="714566"/>
        </a:xfrm>
        <a:prstGeom prst="rightBrace">
          <a:avLst>
            <a:gd name="adj1" fmla="val 2579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27707</xdr:colOff>
      <xdr:row>59</xdr:row>
      <xdr:rowOff>124758</xdr:rowOff>
    </xdr:from>
    <xdr:to>
      <xdr:col>37</xdr:col>
      <xdr:colOff>63500</xdr:colOff>
      <xdr:row>67</xdr:row>
      <xdr:rowOff>7470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6990295" y="13317817"/>
          <a:ext cx="2725205" cy="144406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chemeClr val="tx1"/>
              </a:solidFill>
              <a:latin typeface="ＭＳ ゴシック" panose="020B0609070205080204" pitchFamily="49" charset="-128"/>
              <a:ea typeface="ＭＳ ゴシック" panose="020B0609070205080204" pitchFamily="49" charset="-128"/>
            </a:rPr>
            <a:t>※</a:t>
          </a:r>
          <a:r>
            <a:rPr kumimoji="1" lang="ja-JP" altLang="en-US" sz="1050" b="1">
              <a:solidFill>
                <a:schemeClr val="tx1"/>
              </a:solidFill>
              <a:latin typeface="ＭＳ ゴシック" panose="020B0609070205080204" pitchFamily="49" charset="-128"/>
              <a:ea typeface="ＭＳ ゴシック" panose="020B0609070205080204" pitchFamily="49" charset="-128"/>
            </a:rPr>
            <a:t> 業種（大分類）は ドロップダウンリストから選択してください</a:t>
          </a:r>
        </a:p>
        <a:p>
          <a:pPr algn="l"/>
          <a:r>
            <a:rPr kumimoji="1" lang="en-US" altLang="ja-JP" sz="1050" b="1">
              <a:solidFill>
                <a:schemeClr val="tx1"/>
              </a:solidFill>
              <a:latin typeface="ＭＳ ゴシック" panose="020B0609070205080204" pitchFamily="49" charset="-128"/>
              <a:ea typeface="ＭＳ ゴシック" panose="020B0609070205080204" pitchFamily="49" charset="-128"/>
            </a:rPr>
            <a:t>※</a:t>
          </a:r>
          <a:r>
            <a:rPr kumimoji="1" lang="ja-JP" altLang="en-US" sz="1050" b="1">
              <a:solidFill>
                <a:schemeClr val="tx1"/>
              </a:solidFill>
              <a:latin typeface="ＭＳ ゴシック" panose="020B0609070205080204" pitchFamily="49" charset="-128"/>
              <a:ea typeface="ＭＳ ゴシック" panose="020B0609070205080204" pitchFamily="49" charset="-128"/>
            </a:rPr>
            <a:t>常用従業員数は入力不要（「６申請者の概要欄」の 常用従業員数がカウントされて自動転記（自動反映）されます）</a:t>
          </a:r>
        </a:p>
        <a:p>
          <a:pPr algn="l"/>
          <a:r>
            <a:rPr kumimoji="1" lang="en-US" altLang="ja-JP" sz="1050" b="1">
              <a:solidFill>
                <a:schemeClr val="tx1"/>
              </a:solidFill>
              <a:latin typeface="ＭＳ ゴシック" panose="020B0609070205080204" pitchFamily="49" charset="-128"/>
              <a:ea typeface="ＭＳ ゴシック" panose="020B0609070205080204" pitchFamily="49" charset="-128"/>
            </a:rPr>
            <a:t>※</a:t>
          </a:r>
          <a:r>
            <a:rPr kumimoji="1" lang="ja-JP" altLang="en-US" sz="1050" b="1">
              <a:solidFill>
                <a:schemeClr val="tx1"/>
              </a:solidFill>
              <a:latin typeface="ＭＳ ゴシック" panose="020B0609070205080204" pitchFamily="49" charset="-128"/>
              <a:ea typeface="ＭＳ ゴシック" panose="020B0609070205080204" pitchFamily="49" charset="-128"/>
            </a:rPr>
            <a:t> 業種コードと中分類名の一覧は右欄</a:t>
          </a:r>
          <a:r>
            <a:rPr kumimoji="1" lang="ja-JP" altLang="en-US" sz="1050" b="0">
              <a:solidFill>
                <a:srgbClr val="FF0000"/>
              </a:solidFill>
              <a:latin typeface="ＭＳ ゴシック" panose="020B0609070205080204" pitchFamily="49" charset="-128"/>
              <a:ea typeface="ＭＳ ゴシック" panose="020B0609070205080204" pitchFamily="49" charset="-128"/>
            </a:rPr>
            <a:t>⇒</a:t>
          </a:r>
        </a:p>
        <a:p>
          <a:pPr algn="l"/>
          <a:r>
            <a:rPr kumimoji="1" lang="ja-JP" altLang="en-US" sz="1050" b="1">
              <a:solidFill>
                <a:schemeClr val="tx1"/>
              </a:solidFill>
              <a:latin typeface="ＭＳ ゴシック" panose="020B0609070205080204" pitchFamily="49" charset="-128"/>
              <a:ea typeface="ＭＳ ゴシック" panose="020B0609070205080204" pitchFamily="49" charset="-128"/>
            </a:rPr>
            <a:t>参照方／又は募集要項末尾参照方</a:t>
          </a:r>
        </a:p>
      </xdr:txBody>
    </xdr:sp>
    <xdr:clientData/>
  </xdr:twoCellAnchor>
  <xdr:twoCellAnchor>
    <xdr:from>
      <xdr:col>37</xdr:col>
      <xdr:colOff>150379</xdr:colOff>
      <xdr:row>45</xdr:row>
      <xdr:rowOff>22228</xdr:rowOff>
    </xdr:from>
    <xdr:to>
      <xdr:col>44</xdr:col>
      <xdr:colOff>501650</xdr:colOff>
      <xdr:row>138</xdr:row>
      <xdr:rowOff>44450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9453129" y="9636128"/>
          <a:ext cx="4091421" cy="19542122"/>
        </a:xfrm>
        <a:prstGeom prst="rect">
          <a:avLst/>
        </a:prstGeom>
        <a:solidFill>
          <a:srgbClr val="99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1" i="0" u="none" strike="noStrike">
              <a:solidFill>
                <a:srgbClr val="FF0000"/>
              </a:solidFill>
              <a:effectLst/>
              <a:latin typeface="HGS創英角ﾎﾟｯﾌﾟ体" panose="040B0A00000000000000" pitchFamily="50" charset="-128"/>
              <a:ea typeface="HGS創英角ﾎﾟｯﾌﾟ体" panose="040B0A00000000000000" pitchFamily="50" charset="-128"/>
            </a:rPr>
            <a:t>業種コード一覧 </a:t>
          </a:r>
          <a:r>
            <a:rPr lang="en-US" altLang="ja-JP" sz="1200" b="1" i="0" u="none" strike="noStrike">
              <a:solidFill>
                <a:srgbClr val="0000FF"/>
              </a:solidFill>
              <a:effectLst/>
              <a:latin typeface="ＭＳ 明朝" panose="02020609040205080304" pitchFamily="17" charset="-128"/>
              <a:ea typeface="ＭＳ 明朝" panose="02020609040205080304" pitchFamily="17" charset="-128"/>
            </a:rPr>
            <a:t>(</a:t>
          </a:r>
          <a:r>
            <a:rPr lang="ja-JP" altLang="en-US" sz="1200" b="1" i="0" u="none" strike="noStrike">
              <a:solidFill>
                <a:srgbClr val="0000FF"/>
              </a:solidFill>
              <a:effectLst/>
              <a:latin typeface="ＭＳ 明朝" panose="02020609040205080304" pitchFamily="17" charset="-128"/>
              <a:ea typeface="ＭＳ 明朝" panose="02020609040205080304" pitchFamily="17" charset="-128"/>
            </a:rPr>
            <a:t>募集要項 </a:t>
          </a:r>
          <a:r>
            <a:rPr lang="en-US" altLang="ja-JP" sz="1200" b="1" i="0" u="none" strike="noStrike">
              <a:solidFill>
                <a:srgbClr val="0000FF"/>
              </a:solidFill>
              <a:effectLst/>
              <a:latin typeface="ＭＳ 明朝" panose="02020609040205080304" pitchFamily="17" charset="-128"/>
              <a:ea typeface="ＭＳ 明朝" panose="02020609040205080304" pitchFamily="17" charset="-128"/>
            </a:rPr>
            <a:t>50</a:t>
          </a:r>
          <a:r>
            <a:rPr lang="ja-JP" altLang="en-US" sz="1200" b="1" i="0" u="none" strike="noStrike">
              <a:solidFill>
                <a:srgbClr val="0000FF"/>
              </a:solidFill>
              <a:effectLst/>
              <a:latin typeface="ＭＳ 明朝" panose="02020609040205080304" pitchFamily="17" charset="-128"/>
              <a:ea typeface="ＭＳ 明朝" panose="02020609040205080304" pitchFamily="17" charset="-128"/>
            </a:rPr>
            <a:t>頁参照</a:t>
          </a:r>
          <a:r>
            <a:rPr lang="en-US" altLang="ja-JP" sz="1200" b="1" i="0" u="none" strike="noStrike">
              <a:solidFill>
                <a:srgbClr val="0000FF"/>
              </a:solidFill>
              <a:effectLst/>
              <a:latin typeface="ＭＳ 明朝" panose="02020609040205080304" pitchFamily="17" charset="-128"/>
              <a:ea typeface="ＭＳ 明朝" panose="02020609040205080304" pitchFamily="17" charset="-128"/>
            </a:rPr>
            <a:t>)</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林業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漁業（水産養殖業を除く）</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水産養殖業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鉱業、採石業、砂利採取業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総合工事業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職別工事業（設備工事業を除く）</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設備工事業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食料品製造業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飲料・たばこ・飼料製造業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繊維工業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木材・木製品製造業（家具を除く）</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家具・装備品製造業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パルプ・紙・紙加工品製造業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印刷・同関連業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化学工業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石油製品・石炭製品製造業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プラスチック製品製造業（別掲を除く）</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ゴム製品製造業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なめし革・同製品・毛皮製造業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窯業・土石製品製造業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鉄鋼業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非鉄金属製造業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金属製品製造業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はん用機械器具製造業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生産用機械器具製造業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業務用機械器具製造業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電子部品・デバイス・電子回路製造業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電気機械器具製造業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情報通信機械器具製造業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輸送用機械器具製造業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電気業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ガス業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熱供給業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水道業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通信業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放送業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情報サービス業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インターネット附随サービス業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映像・音声・文字情報制作業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管理、補助的経済活動を行う事業所（</a:t>
          </a:r>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映像・音声・文字情報制作業）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映像情報制作・配給業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音声情報制作業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新聞業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出版業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広告制作業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映像・音声・文字情報制作に附帯するサービス業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鉄道業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道路旅客運送業</a:t>
          </a:r>
          <a:endPar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道路貨物運送業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水運業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航空運輸業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倉庫業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運輸に附帯するサービス業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郵便業（信書便事業を含む）</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各種商品卸売業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繊維・衣服等卸売業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飲食料品卸売業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建築材料、鉱物・金属材料等卸売業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機械器具卸売業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その他の卸売業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各種商品小売業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織物・衣服・身の回り品小売業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飲食料品小売業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機械器具小売業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その他の小売業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無店舗小売業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銀行業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協同組織金融業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貸金業、クレジットカード業等非預金信用機関</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金融商品取引業、商品先物取引業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補助的金融業等</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保険業（保険媒介代理業，保険サービス業を含む）</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不動産取引業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不動産賃貸業・管理業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管理、補助的経済活動を行う事業所（</a:t>
          </a:r>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不動産賃貸業・管理業）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不動産賃貸業（貸家業、貸間業を除く）</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貸家業、貸間業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駐車場業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不動産管理業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物品賃貸業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学術・開発研究機関</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専門サービス業（他に分類されないもの）</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広告業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技術サービス業（他に分類されないもの）</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宿泊業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飲食店</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持ち帰り・配達飲食サービス業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洗濯・理容・美容・浴場業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その他の生活関連サービス業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娯楽業</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学校教育</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その他の教育、学習支援業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医療業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保健衛生</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社会保険・社会福祉・介護事業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郵便局</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協同組合（他に分類されないもの）</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廃棄物処理業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自動車整備業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機械等修理業（別掲を除く）</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職業紹介・労働者派遣業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その他の事業サービス業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政治・経済・文化団体</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宗教</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その他のサービス業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外国公務</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国家公務</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地方公務</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分類不能の産</a:t>
          </a:r>
          <a:r>
            <a:rPr lang="ja-JP" altLang="en-US" sz="1100" b="0" i="0" u="none" strike="noStrike">
              <a:solidFill>
                <a:srgbClr val="FF0000"/>
              </a:solidFill>
              <a:effectLst/>
              <a:latin typeface="ＭＳ ゴシック" panose="020B0609070205080204" pitchFamily="49" charset="-128"/>
              <a:ea typeface="ＭＳ ゴシック" panose="020B0609070205080204" pitchFamily="49" charset="-128"/>
            </a:rPr>
            <a:t>業</a:t>
          </a:r>
          <a:r>
            <a:rPr lang="ja-JP" altLang="en-US">
              <a:latin typeface="ＭＳ ゴシック" panose="020B0609070205080204" pitchFamily="49" charset="-128"/>
              <a:ea typeface="ＭＳ ゴシック" panose="020B0609070205080204" pitchFamily="49" charset="-128"/>
            </a:rPr>
            <a:t>   </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58127</xdr:colOff>
      <xdr:row>4</xdr:row>
      <xdr:rowOff>4885</xdr:rowOff>
    </xdr:from>
    <xdr:to>
      <xdr:col>29</xdr:col>
      <xdr:colOff>13676</xdr:colOff>
      <xdr:row>6</xdr:row>
      <xdr:rowOff>2487</xdr:rowOff>
    </xdr:to>
    <xdr:sp macro="" textlink="">
      <xdr:nvSpPr>
        <xdr:cNvPr id="10" name="右中かっこ 9">
          <a:extLst>
            <a:ext uri="{FF2B5EF4-FFF2-40B4-BE49-F238E27FC236}">
              <a16:creationId xmlns:a16="http://schemas.microsoft.com/office/drawing/2014/main" id="{00000000-0008-0000-0100-00000A000000}"/>
            </a:ext>
          </a:extLst>
        </xdr:cNvPr>
        <xdr:cNvSpPr/>
      </xdr:nvSpPr>
      <xdr:spPr>
        <a:xfrm>
          <a:off x="6281127" y="677985"/>
          <a:ext cx="323849" cy="277002"/>
        </a:xfrm>
        <a:prstGeom prst="rightBrace">
          <a:avLst>
            <a:gd name="adj1" fmla="val 833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301915</xdr:colOff>
      <xdr:row>3</xdr:row>
      <xdr:rowOff>215322</xdr:rowOff>
    </xdr:from>
    <xdr:to>
      <xdr:col>36</xdr:col>
      <xdr:colOff>279400</xdr:colOff>
      <xdr:row>8</xdr:row>
      <xdr:rowOff>31750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6524915" y="653472"/>
          <a:ext cx="2536535" cy="72447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提出日を選択してください</a:t>
          </a:r>
        </a:p>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ドロップダウンリスト ▼から選択</a:t>
          </a:r>
        </a:p>
      </xdr:txBody>
    </xdr:sp>
    <xdr:clientData/>
  </xdr:twoCellAnchor>
  <xdr:twoCellAnchor>
    <xdr:from>
      <xdr:col>28</xdr:col>
      <xdr:colOff>50800</xdr:colOff>
      <xdr:row>25</xdr:row>
      <xdr:rowOff>104775</xdr:rowOff>
    </xdr:from>
    <xdr:to>
      <xdr:col>29</xdr:col>
      <xdr:colOff>101023</xdr:colOff>
      <xdr:row>45</xdr:row>
      <xdr:rowOff>238125</xdr:rowOff>
    </xdr:to>
    <xdr:sp macro="" textlink="">
      <xdr:nvSpPr>
        <xdr:cNvPr id="15" name="右中かっこ 14">
          <a:extLst>
            <a:ext uri="{FF2B5EF4-FFF2-40B4-BE49-F238E27FC236}">
              <a16:creationId xmlns:a16="http://schemas.microsoft.com/office/drawing/2014/main" id="{00000000-0008-0000-0100-00000F000000}"/>
            </a:ext>
          </a:extLst>
        </xdr:cNvPr>
        <xdr:cNvSpPr/>
      </xdr:nvSpPr>
      <xdr:spPr>
        <a:xfrm>
          <a:off x="6273800" y="4568825"/>
          <a:ext cx="418523" cy="4972050"/>
        </a:xfrm>
        <a:prstGeom prst="rightBrace">
          <a:avLst>
            <a:gd name="adj1" fmla="val 2407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38677</xdr:colOff>
      <xdr:row>31</xdr:row>
      <xdr:rowOff>26266</xdr:rowOff>
    </xdr:from>
    <xdr:to>
      <xdr:col>36</xdr:col>
      <xdr:colOff>403224</xdr:colOff>
      <xdr:row>37</xdr:row>
      <xdr:rowOff>196850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7036377" y="5360266"/>
          <a:ext cx="2555297" cy="165648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事業区分／申請者区分に対して該当区分を１つ選択して左端欄に○印をつけてください</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ドロップダウンリスト ▼から選択可</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［区分Ｃ： ＤＸ推進］を選択した場合は①～③の技術区分から１つを選択して〇印付与</a:t>
          </a:r>
        </a:p>
      </xdr:txBody>
    </xdr:sp>
    <xdr:clientData/>
  </xdr:twoCellAnchor>
  <xdr:twoCellAnchor>
    <xdr:from>
      <xdr:col>28</xdr:col>
      <xdr:colOff>67164</xdr:colOff>
      <xdr:row>88</xdr:row>
      <xdr:rowOff>80840</xdr:rowOff>
    </xdr:from>
    <xdr:to>
      <xdr:col>29</xdr:col>
      <xdr:colOff>51577</xdr:colOff>
      <xdr:row>101</xdr:row>
      <xdr:rowOff>223715</xdr:rowOff>
    </xdr:to>
    <xdr:sp macro="" textlink="">
      <xdr:nvSpPr>
        <xdr:cNvPr id="20" name="右中かっこ 19">
          <a:extLst>
            <a:ext uri="{FF2B5EF4-FFF2-40B4-BE49-F238E27FC236}">
              <a16:creationId xmlns:a16="http://schemas.microsoft.com/office/drawing/2014/main" id="{00000000-0008-0000-0100-000014000000}"/>
            </a:ext>
          </a:extLst>
        </xdr:cNvPr>
        <xdr:cNvSpPr/>
      </xdr:nvSpPr>
      <xdr:spPr>
        <a:xfrm>
          <a:off x="6290164" y="15898690"/>
          <a:ext cx="352713" cy="2994025"/>
        </a:xfrm>
        <a:prstGeom prst="rightBrace">
          <a:avLst>
            <a:gd name="adj1" fmla="val 2870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63500</xdr:colOff>
      <xdr:row>105</xdr:row>
      <xdr:rowOff>9525</xdr:rowOff>
    </xdr:from>
    <xdr:to>
      <xdr:col>29</xdr:col>
      <xdr:colOff>22513</xdr:colOff>
      <xdr:row>109</xdr:row>
      <xdr:rowOff>0</xdr:rowOff>
    </xdr:to>
    <xdr:sp macro="" textlink="">
      <xdr:nvSpPr>
        <xdr:cNvPr id="22" name="右中かっこ 21">
          <a:extLst>
            <a:ext uri="{FF2B5EF4-FFF2-40B4-BE49-F238E27FC236}">
              <a16:creationId xmlns:a16="http://schemas.microsoft.com/office/drawing/2014/main" id="{00000000-0008-0000-0100-000016000000}"/>
            </a:ext>
          </a:extLst>
        </xdr:cNvPr>
        <xdr:cNvSpPr/>
      </xdr:nvSpPr>
      <xdr:spPr>
        <a:xfrm>
          <a:off x="6286500" y="19510375"/>
          <a:ext cx="327313" cy="955675"/>
        </a:xfrm>
        <a:prstGeom prst="rightBrace">
          <a:avLst>
            <a:gd name="adj1" fmla="val 1706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352425</xdr:colOff>
      <xdr:row>105</xdr:row>
      <xdr:rowOff>190499</xdr:rowOff>
    </xdr:from>
    <xdr:to>
      <xdr:col>36</xdr:col>
      <xdr:colOff>457200</xdr:colOff>
      <xdr:row>108</xdr:row>
      <xdr:rowOff>165100</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6575425" y="20154899"/>
          <a:ext cx="2663825" cy="6985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b="1">
              <a:solidFill>
                <a:schemeClr val="tx1"/>
              </a:solidFill>
              <a:effectLst/>
              <a:latin typeface="ＭＳ ゴシック" panose="020B0609070205080204" pitchFamily="49" charset="-128"/>
              <a:ea typeface="ＭＳ ゴシック" panose="020B0609070205080204" pitchFamily="49" charset="-128"/>
            </a:rPr>
            <a:t>※</a:t>
          </a:r>
          <a:r>
            <a:rPr lang="ja-JP" altLang="en-US" sz="1050" b="1">
              <a:solidFill>
                <a:schemeClr val="tx1"/>
              </a:solidFill>
              <a:effectLst/>
              <a:latin typeface="ＭＳ ゴシック" panose="020B0609070205080204" pitchFamily="49" charset="-128"/>
              <a:ea typeface="ＭＳ ゴシック" panose="020B0609070205080204" pitchFamily="49" charset="-128"/>
            </a:rPr>
            <a:t>代表的な現有機械設備を記載してください。</a:t>
          </a:r>
        </a:p>
        <a:p>
          <a:pPr algn="l"/>
          <a:endParaRPr lang="ja-JP" altLang="en-US" sz="1050" b="1">
            <a:solidFill>
              <a:schemeClr val="tx1"/>
            </a:solidFill>
            <a:effectLst/>
          </a:endParaRPr>
        </a:p>
        <a:p>
          <a:pPr algn="l"/>
          <a:endParaRPr lang="ja-JP" altLang="ja-JP" sz="1050" b="1">
            <a:solidFill>
              <a:schemeClr val="tx1"/>
            </a:solidFill>
            <a:effectLst/>
          </a:endParaRPr>
        </a:p>
      </xdr:txBody>
    </xdr:sp>
    <xdr:clientData/>
  </xdr:twoCellAnchor>
  <xdr:twoCellAnchor>
    <xdr:from>
      <xdr:col>28</xdr:col>
      <xdr:colOff>60326</xdr:colOff>
      <xdr:row>139</xdr:row>
      <xdr:rowOff>28575</xdr:rowOff>
    </xdr:from>
    <xdr:to>
      <xdr:col>29</xdr:col>
      <xdr:colOff>44739</xdr:colOff>
      <xdr:row>147</xdr:row>
      <xdr:rowOff>295275</xdr:rowOff>
    </xdr:to>
    <xdr:sp macro="" textlink="">
      <xdr:nvSpPr>
        <xdr:cNvPr id="26" name="右中かっこ 25">
          <a:extLst>
            <a:ext uri="{FF2B5EF4-FFF2-40B4-BE49-F238E27FC236}">
              <a16:creationId xmlns:a16="http://schemas.microsoft.com/office/drawing/2014/main" id="{00000000-0008-0000-0100-00001A000000}"/>
            </a:ext>
          </a:extLst>
        </xdr:cNvPr>
        <xdr:cNvSpPr/>
      </xdr:nvSpPr>
      <xdr:spPr>
        <a:xfrm>
          <a:off x="6283326" y="28863925"/>
          <a:ext cx="352713" cy="2222500"/>
        </a:xfrm>
        <a:prstGeom prst="rightBrace">
          <a:avLst>
            <a:gd name="adj1" fmla="val 3777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6535</xdr:colOff>
      <xdr:row>138</xdr:row>
      <xdr:rowOff>193675</xdr:rowOff>
    </xdr:from>
    <xdr:to>
      <xdr:col>41</xdr:col>
      <xdr:colOff>241300</xdr:colOff>
      <xdr:row>146</xdr:row>
      <xdr:rowOff>59765</xdr:rowOff>
    </xdr:to>
    <xdr:sp macro="" textlink="">
      <xdr:nvSpPr>
        <xdr:cNvPr id="27" name="正方形/長方形 26">
          <a:extLst>
            <a:ext uri="{FF2B5EF4-FFF2-40B4-BE49-F238E27FC236}">
              <a16:creationId xmlns:a16="http://schemas.microsoft.com/office/drawing/2014/main" id="{00000000-0008-0000-0100-00001B000000}"/>
            </a:ext>
          </a:extLst>
        </xdr:cNvPr>
        <xdr:cNvSpPr/>
      </xdr:nvSpPr>
      <xdr:spPr>
        <a:xfrm>
          <a:off x="6565711" y="25212675"/>
          <a:ext cx="4605060" cy="178603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fontAlgn="ctr" hangingPunct="0"/>
          <a:r>
            <a:rPr lang="en-US" altLang="ja-JP" sz="1050" b="1">
              <a:solidFill>
                <a:sysClr val="windowText" lastClr="000000"/>
              </a:solidFill>
              <a:effectLst/>
              <a:latin typeface="ＭＳ ゴシック" panose="020B0609070205080204" pitchFamily="49" charset="-128"/>
              <a:ea typeface="ＭＳ ゴシック" panose="020B0609070205080204" pitchFamily="49" charset="-128"/>
            </a:rPr>
            <a:t>※</a:t>
          </a:r>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過去５年以内に他の助成金を申請している場合には、「申請有」欄に「○」印を付与し、</a:t>
          </a:r>
          <a:r>
            <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申請中及び採択案件（</a:t>
          </a:r>
          <a:r>
            <a:rPr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代表的なもの；４件以内</a:t>
          </a:r>
          <a:r>
            <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）を記入してください。</a:t>
          </a:r>
          <a:r>
            <a:rPr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不採択が決定している場合は記入不要（「申請無」と扱って可）。</a:t>
          </a:r>
          <a:endPar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fontAlgn="ctr" hangingPunct="0"/>
          <a:r>
            <a:rPr lang="en-US"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同一機械設備で、公社が実施する他の助成事業に併願申請はできません。</a:t>
          </a:r>
        </a:p>
        <a:p>
          <a:pPr fontAlgn="ctr" hangingPunct="0"/>
          <a:r>
            <a:rPr lang="en-US"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同一機械設備で、公社・国・都道府県・区市町村など複数から助成は受けられません</a:t>
          </a:r>
          <a:r>
            <a:rPr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（併願申請は可能ですが、最終的にはどちらかを辞退する必要有）。</a:t>
          </a:r>
          <a:endParaRPr lang="ja-JP" altLang="en-US" sz="1050" b="1">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b="1">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ja-JP" sz="1050" b="1">
            <a:solidFill>
              <a:schemeClr val="tx1"/>
            </a:solidFill>
            <a:effectLst/>
          </a:endParaRPr>
        </a:p>
      </xdr:txBody>
    </xdr:sp>
    <xdr:clientData/>
  </xdr:twoCellAnchor>
  <xdr:twoCellAnchor>
    <xdr:from>
      <xdr:col>28</xdr:col>
      <xdr:colOff>69850</xdr:colOff>
      <xdr:row>151</xdr:row>
      <xdr:rowOff>0</xdr:rowOff>
    </xdr:from>
    <xdr:to>
      <xdr:col>29</xdr:col>
      <xdr:colOff>73313</xdr:colOff>
      <xdr:row>172</xdr:row>
      <xdr:rowOff>9526</xdr:rowOff>
    </xdr:to>
    <xdr:sp macro="" textlink="">
      <xdr:nvSpPr>
        <xdr:cNvPr id="28" name="右中かっこ 27">
          <a:extLst>
            <a:ext uri="{FF2B5EF4-FFF2-40B4-BE49-F238E27FC236}">
              <a16:creationId xmlns:a16="http://schemas.microsoft.com/office/drawing/2014/main" id="{00000000-0008-0000-0100-00001C000000}"/>
            </a:ext>
          </a:extLst>
        </xdr:cNvPr>
        <xdr:cNvSpPr/>
      </xdr:nvSpPr>
      <xdr:spPr>
        <a:xfrm>
          <a:off x="6292850" y="31496000"/>
          <a:ext cx="371763" cy="4600576"/>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63988</xdr:colOff>
      <xdr:row>67</xdr:row>
      <xdr:rowOff>19294</xdr:rowOff>
    </xdr:from>
    <xdr:to>
      <xdr:col>29</xdr:col>
      <xdr:colOff>121138</xdr:colOff>
      <xdr:row>75</xdr:row>
      <xdr:rowOff>47869</xdr:rowOff>
    </xdr:to>
    <xdr:sp macro="" textlink="">
      <xdr:nvSpPr>
        <xdr:cNvPr id="31" name="右中かっこ 30">
          <a:extLst>
            <a:ext uri="{FF2B5EF4-FFF2-40B4-BE49-F238E27FC236}">
              <a16:creationId xmlns:a16="http://schemas.microsoft.com/office/drawing/2014/main" id="{00000000-0008-0000-0100-00001F000000}"/>
            </a:ext>
          </a:extLst>
        </xdr:cNvPr>
        <xdr:cNvSpPr/>
      </xdr:nvSpPr>
      <xdr:spPr>
        <a:xfrm>
          <a:off x="6286988" y="11303244"/>
          <a:ext cx="425450" cy="930275"/>
        </a:xfrm>
        <a:prstGeom prst="rightBrace">
          <a:avLst>
            <a:gd name="adj1" fmla="val 2109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31750</xdr:colOff>
          <xdr:row>80</xdr:row>
          <xdr:rowOff>603250</xdr:rowOff>
        </xdr:from>
        <xdr:to>
          <xdr:col>9</xdr:col>
          <xdr:colOff>38100</xdr:colOff>
          <xdr:row>82</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81</xdr:row>
          <xdr:rowOff>0</xdr:rowOff>
        </xdr:from>
        <xdr:to>
          <xdr:col>28</xdr:col>
          <xdr:colOff>57150</xdr:colOff>
          <xdr:row>81</xdr:row>
          <xdr:rowOff>209550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28</xdr:col>
      <xdr:colOff>60325</xdr:colOff>
      <xdr:row>124</xdr:row>
      <xdr:rowOff>19050</xdr:rowOff>
    </xdr:from>
    <xdr:to>
      <xdr:col>29</xdr:col>
      <xdr:colOff>19338</xdr:colOff>
      <xdr:row>132</xdr:row>
      <xdr:rowOff>238125</xdr:rowOff>
    </xdr:to>
    <xdr:sp macro="" textlink="">
      <xdr:nvSpPr>
        <xdr:cNvPr id="32" name="右中かっこ 31">
          <a:extLst>
            <a:ext uri="{FF2B5EF4-FFF2-40B4-BE49-F238E27FC236}">
              <a16:creationId xmlns:a16="http://schemas.microsoft.com/office/drawing/2014/main" id="{00000000-0008-0000-0100-000020000000}"/>
            </a:ext>
          </a:extLst>
        </xdr:cNvPr>
        <xdr:cNvSpPr/>
      </xdr:nvSpPr>
      <xdr:spPr>
        <a:xfrm>
          <a:off x="6283325" y="25050750"/>
          <a:ext cx="327313" cy="2276475"/>
        </a:xfrm>
        <a:prstGeom prst="rightBrace">
          <a:avLst>
            <a:gd name="adj1" fmla="val 2870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361950</xdr:colOff>
      <xdr:row>124</xdr:row>
      <xdr:rowOff>276225</xdr:rowOff>
    </xdr:from>
    <xdr:to>
      <xdr:col>36</xdr:col>
      <xdr:colOff>466725</xdr:colOff>
      <xdr:row>132</xdr:row>
      <xdr:rowOff>82550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6584950" y="25879425"/>
          <a:ext cx="2663825" cy="18637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fontAlgn="ctr" hangingPunct="0"/>
          <a:r>
            <a:rPr lang="en-US" altLang="ja-JP" sz="1050">
              <a:solidFill>
                <a:sysClr val="windowText" lastClr="000000"/>
              </a:solidFill>
              <a:effectLst/>
              <a:latin typeface="ＭＳ ゴシック" panose="020B0609070205080204" pitchFamily="49" charset="-128"/>
              <a:ea typeface="ＭＳ ゴシック" panose="020B0609070205080204" pitchFamily="49" charset="-128"/>
            </a:rPr>
            <a:t>※</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役員の場合は役職を記入。役員以外の株主は、当社との関係や職業（個人の場合）を記入してください。</a:t>
          </a:r>
        </a:p>
        <a:p>
          <a:r>
            <a:rPr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持ち株比率</a:t>
          </a:r>
          <a:r>
            <a:rPr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70%</a:t>
          </a:r>
          <a:r>
            <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以上となるまで株主名を列挙ください。</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株主欄が不足する場合は、最終行に「その他○名」として、別途株主名簿（全株主分）の写しを提出してください。</a:t>
          </a:r>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28</xdr:col>
      <xdr:colOff>60325</xdr:colOff>
      <xdr:row>119</xdr:row>
      <xdr:rowOff>9525</xdr:rowOff>
    </xdr:from>
    <xdr:to>
      <xdr:col>28</xdr:col>
      <xdr:colOff>359063</xdr:colOff>
      <xdr:row>120</xdr:row>
      <xdr:rowOff>200025</xdr:rowOff>
    </xdr:to>
    <xdr:sp macro="" textlink="">
      <xdr:nvSpPr>
        <xdr:cNvPr id="34" name="右中かっこ 33">
          <a:extLst>
            <a:ext uri="{FF2B5EF4-FFF2-40B4-BE49-F238E27FC236}">
              <a16:creationId xmlns:a16="http://schemas.microsoft.com/office/drawing/2014/main" id="{00000000-0008-0000-0100-000022000000}"/>
            </a:ext>
          </a:extLst>
        </xdr:cNvPr>
        <xdr:cNvSpPr/>
      </xdr:nvSpPr>
      <xdr:spPr>
        <a:xfrm>
          <a:off x="6283325" y="24177625"/>
          <a:ext cx="298738" cy="450850"/>
        </a:xfrm>
        <a:prstGeom prst="rightBrace">
          <a:avLst>
            <a:gd name="adj1" fmla="val 2870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342899</xdr:colOff>
      <xdr:row>118</xdr:row>
      <xdr:rowOff>180973</xdr:rowOff>
    </xdr:from>
    <xdr:to>
      <xdr:col>36</xdr:col>
      <xdr:colOff>495299</xdr:colOff>
      <xdr:row>122</xdr:row>
      <xdr:rowOff>152400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6565899" y="23860123"/>
          <a:ext cx="2711450" cy="79057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fontAlgn="ctr" hangingPunct="0"/>
          <a:r>
            <a:rPr lang="en-US" altLang="ja-JP" sz="1050" b="1">
              <a:solidFill>
                <a:sysClr val="windowText" lastClr="000000"/>
              </a:solidFill>
              <a:effectLst/>
              <a:latin typeface="ＭＳ ゴシック" panose="020B0609070205080204" pitchFamily="49" charset="-128"/>
              <a:ea typeface="ＭＳ ゴシック" panose="020B0609070205080204" pitchFamily="49" charset="-128"/>
            </a:rPr>
            <a:t>※</a:t>
          </a:r>
          <a:r>
            <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役員</a:t>
          </a:r>
          <a:r>
            <a:rPr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が８名を超える場合は、左の空欄へ記入するか別紙一覧を提出してください。</a:t>
          </a:r>
          <a:endParaRPr lang="ja-JP" altLang="en-US" sz="1050" b="1">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ja-JP" sz="1050" b="1">
            <a:solidFill>
              <a:schemeClr val="tx1"/>
            </a:solidFill>
            <a:effectLst/>
          </a:endParaRPr>
        </a:p>
      </xdr:txBody>
    </xdr:sp>
    <xdr:clientData/>
  </xdr:twoCellAnchor>
  <xdr:twoCellAnchor>
    <xdr:from>
      <xdr:col>29</xdr:col>
      <xdr:colOff>82736</xdr:colOff>
      <xdr:row>67</xdr:row>
      <xdr:rowOff>115047</xdr:rowOff>
    </xdr:from>
    <xdr:to>
      <xdr:col>37</xdr:col>
      <xdr:colOff>5415</xdr:colOff>
      <xdr:row>74</xdr:row>
      <xdr:rowOff>179294</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7045324" y="14869459"/>
          <a:ext cx="2612091" cy="133424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chemeClr val="tx1"/>
              </a:solidFill>
              <a:latin typeface="ＭＳ ゴシック" panose="020B0609070205080204" pitchFamily="49" charset="-128"/>
              <a:ea typeface="ＭＳ ゴシック" panose="020B0609070205080204" pitchFamily="49" charset="-128"/>
            </a:rPr>
            <a:t>※</a:t>
          </a:r>
          <a:r>
            <a:rPr kumimoji="1" lang="ja-JP" altLang="en-US" sz="1050" b="1">
              <a:solidFill>
                <a:schemeClr val="tx1"/>
              </a:solidFill>
              <a:latin typeface="ＭＳ ゴシック" panose="020B0609070205080204" pitchFamily="49" charset="-128"/>
              <a:ea typeface="ＭＳ ゴシック" panose="020B0609070205080204" pitchFamily="49" charset="-128"/>
            </a:rPr>
            <a:t>「助成対象経費」と「助成金交付申請額」は、「資金計画」</a:t>
          </a:r>
          <a:r>
            <a:rPr kumimoji="1" lang="en-US" altLang="ja-JP" sz="1050" b="1">
              <a:solidFill>
                <a:schemeClr val="tx1"/>
              </a:solidFill>
              <a:latin typeface="ＭＳ ゴシック" panose="020B0609070205080204" pitchFamily="49" charset="-128"/>
              <a:ea typeface="ＭＳ ゴシック" panose="020B0609070205080204" pitchFamily="49" charset="-128"/>
            </a:rPr>
            <a:t>sheet</a:t>
          </a:r>
          <a:r>
            <a:rPr kumimoji="1" lang="ja-JP" altLang="en-US" sz="1050" b="1">
              <a:solidFill>
                <a:schemeClr val="tx1"/>
              </a:solidFill>
              <a:latin typeface="ＭＳ ゴシック" panose="020B0609070205080204" pitchFamily="49" charset="-128"/>
              <a:ea typeface="ＭＳ ゴシック" panose="020B0609070205080204" pitchFamily="49" charset="-128"/>
            </a:rPr>
            <a:t>の入力結果が転記（自動反映）されるため入力不要</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申請機種数」は</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機械設備計画」</a:t>
          </a:r>
          <a:r>
            <a:rPr kumimoji="1" lang="en-US" altLang="ja-JP" sz="1100" b="1">
              <a:solidFill>
                <a:schemeClr val="tx1"/>
              </a:solidFill>
              <a:effectLst/>
              <a:latin typeface="ＭＳ ゴシック" panose="020B0609070205080204" pitchFamily="49" charset="-128"/>
              <a:ea typeface="ＭＳ ゴシック" panose="020B0609070205080204" pitchFamily="49" charset="-128"/>
              <a:cs typeface="+mn-cs"/>
            </a:rPr>
            <a:t>sheet</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の入力結果が転記（自動反映）されるため入力不要</a:t>
          </a:r>
          <a:endParaRPr lang="ja-JP" altLang="ja-JP" sz="105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69850</xdr:colOff>
      <xdr:row>178</xdr:row>
      <xdr:rowOff>104776</xdr:rowOff>
    </xdr:from>
    <xdr:to>
      <xdr:col>29</xdr:col>
      <xdr:colOff>38676</xdr:colOff>
      <xdr:row>184</xdr:row>
      <xdr:rowOff>164354</xdr:rowOff>
    </xdr:to>
    <xdr:sp macro="" textlink="">
      <xdr:nvSpPr>
        <xdr:cNvPr id="41" name="右中かっこ 40">
          <a:extLst>
            <a:ext uri="{FF2B5EF4-FFF2-40B4-BE49-F238E27FC236}">
              <a16:creationId xmlns:a16="http://schemas.microsoft.com/office/drawing/2014/main" id="{00000000-0008-0000-0100-000029000000}"/>
            </a:ext>
          </a:extLst>
        </xdr:cNvPr>
        <xdr:cNvSpPr/>
      </xdr:nvSpPr>
      <xdr:spPr>
        <a:xfrm>
          <a:off x="6673850" y="35388364"/>
          <a:ext cx="327414" cy="1688166"/>
        </a:xfrm>
        <a:prstGeom prst="rightBrace">
          <a:avLst>
            <a:gd name="adj1" fmla="val 16730"/>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57149</xdr:colOff>
      <xdr:row>179</xdr:row>
      <xdr:rowOff>0</xdr:rowOff>
    </xdr:from>
    <xdr:to>
      <xdr:col>38</xdr:col>
      <xdr:colOff>285750</xdr:colOff>
      <xdr:row>183</xdr:row>
      <xdr:rowOff>201705</xdr:rowOff>
    </xdr:to>
    <xdr:sp macro="" textlink="">
      <xdr:nvSpPr>
        <xdr:cNvPr id="42" name="正方形/長方形 41">
          <a:extLst>
            <a:ext uri="{FF2B5EF4-FFF2-40B4-BE49-F238E27FC236}">
              <a16:creationId xmlns:a16="http://schemas.microsoft.com/office/drawing/2014/main" id="{00000000-0008-0000-0100-00002A000000}"/>
            </a:ext>
          </a:extLst>
        </xdr:cNvPr>
        <xdr:cNvSpPr/>
      </xdr:nvSpPr>
      <xdr:spPr>
        <a:xfrm>
          <a:off x="7019737" y="35567471"/>
          <a:ext cx="3433484" cy="125505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latin typeface="ＭＳ ゴシック" panose="020B0609070205080204" pitchFamily="49" charset="-128"/>
              <a:ea typeface="ＭＳ ゴシック" panose="020B0609070205080204" pitchFamily="49" charset="-128"/>
            </a:rPr>
            <a:t>加点措置を希望する場合は、項目を選んで「〇」印を付し、所定資料を申請書に添付して提出ください 。加点は所定条件を満たした場合に可能です（詳細は募集要項にてご確認ください）。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「〇」印</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は</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ドロップダウンリスト ▼から選択可</a:t>
          </a:r>
          <a:endParaRPr lang="ja-JP" altLang="ja-JP">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166311</xdr:colOff>
      <xdr:row>15</xdr:row>
      <xdr:rowOff>107671</xdr:rowOff>
    </xdr:from>
    <xdr:to>
      <xdr:col>38</xdr:col>
      <xdr:colOff>306211</xdr:colOff>
      <xdr:row>18</xdr:row>
      <xdr:rowOff>105833</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6791478" y="2873449"/>
          <a:ext cx="3710011" cy="492051"/>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rgbClr val="FF0000"/>
              </a:solidFill>
              <a:latin typeface="HG丸ｺﾞｼｯｸM-PRO" panose="020F0600000000000000" pitchFamily="50" charset="-128"/>
              <a:ea typeface="HG丸ｺﾞｼｯｸM-PRO" panose="020F0600000000000000" pitchFamily="50" charset="-128"/>
            </a:rPr>
            <a:t>本書式は</a:t>
          </a:r>
          <a:r>
            <a:rPr kumimoji="1" lang="ja-JP" altLang="en-US" sz="1400" b="0">
              <a:solidFill>
                <a:srgbClr val="FFFF00"/>
              </a:solidFill>
              <a:latin typeface="HG丸ｺﾞｼｯｸM-PRO" panose="020F0600000000000000" pitchFamily="50" charset="-128"/>
              <a:ea typeface="HG丸ｺﾞｼｯｸM-PRO" panose="020F0600000000000000" pitchFamily="50" charset="-128"/>
            </a:rPr>
            <a:t>黄色</a:t>
          </a:r>
          <a:r>
            <a:rPr kumimoji="1" lang="ja-JP" altLang="en-US" sz="1400" b="0">
              <a:solidFill>
                <a:srgbClr val="FF0000"/>
              </a:solidFill>
              <a:latin typeface="HG丸ｺﾞｼｯｸM-PRO" panose="020F0600000000000000" pitchFamily="50" charset="-128"/>
              <a:ea typeface="HG丸ｺﾞｼｯｸM-PRO" panose="020F0600000000000000" pitchFamily="50" charset="-128"/>
            </a:rPr>
            <a:t>　　　　部分が入力項目です</a:t>
          </a:r>
        </a:p>
      </xdr:txBody>
    </xdr:sp>
    <xdr:clientData/>
  </xdr:twoCellAnchor>
  <xdr:twoCellAnchor>
    <xdr:from>
      <xdr:col>33</xdr:col>
      <xdr:colOff>81844</xdr:colOff>
      <xdr:row>16</xdr:row>
      <xdr:rowOff>4939</xdr:rowOff>
    </xdr:from>
    <xdr:to>
      <xdr:col>35</xdr:col>
      <xdr:colOff>202494</xdr:colOff>
      <xdr:row>17</xdr:row>
      <xdr:rowOff>155927</xdr:rowOff>
    </xdr:to>
    <xdr:sp macro="" textlink="">
      <xdr:nvSpPr>
        <xdr:cNvPr id="45" name="正方形/長方形 44">
          <a:extLst>
            <a:ext uri="{FF2B5EF4-FFF2-40B4-BE49-F238E27FC236}">
              <a16:creationId xmlns:a16="http://schemas.microsoft.com/office/drawing/2014/main" id="{00000000-0008-0000-0100-00002D000000}"/>
            </a:ext>
          </a:extLst>
        </xdr:cNvPr>
        <xdr:cNvSpPr/>
      </xdr:nvSpPr>
      <xdr:spPr>
        <a:xfrm>
          <a:off x="7998177" y="2982383"/>
          <a:ext cx="586317" cy="270933"/>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b="1">
            <a:solidFill>
              <a:schemeClr val="tx1"/>
            </a:solidFill>
          </a:endParaRPr>
        </a:p>
      </xdr:txBody>
    </xdr:sp>
    <xdr:clientData/>
  </xdr:twoCellAnchor>
  <xdr:twoCellAnchor>
    <xdr:from>
      <xdr:col>26</xdr:col>
      <xdr:colOff>66675</xdr:colOff>
      <xdr:row>22</xdr:row>
      <xdr:rowOff>9525</xdr:rowOff>
    </xdr:from>
    <xdr:to>
      <xdr:col>26</xdr:col>
      <xdr:colOff>142875</xdr:colOff>
      <xdr:row>22</xdr:row>
      <xdr:rowOff>76200</xdr:rowOff>
    </xdr:to>
    <xdr:sp macro="" textlink="">
      <xdr:nvSpPr>
        <xdr:cNvPr id="14" name="下矢印 13">
          <a:extLst>
            <a:ext uri="{FF2B5EF4-FFF2-40B4-BE49-F238E27FC236}">
              <a16:creationId xmlns:a16="http://schemas.microsoft.com/office/drawing/2014/main" id="{00000000-0008-0000-0100-00000E000000}"/>
            </a:ext>
          </a:extLst>
        </xdr:cNvPr>
        <xdr:cNvSpPr/>
      </xdr:nvSpPr>
      <xdr:spPr>
        <a:xfrm>
          <a:off x="6096000" y="4286250"/>
          <a:ext cx="76200" cy="66675"/>
        </a:xfrm>
        <a:prstGeom prst="downArrow">
          <a:avLst/>
        </a:prstGeom>
        <a:solidFill>
          <a:schemeClr val="bg1">
            <a:lumMod val="8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67407</xdr:colOff>
      <xdr:row>77</xdr:row>
      <xdr:rowOff>33215</xdr:rowOff>
    </xdr:from>
    <xdr:to>
      <xdr:col>29</xdr:col>
      <xdr:colOff>124557</xdr:colOff>
      <xdr:row>80</xdr:row>
      <xdr:rowOff>461840</xdr:rowOff>
    </xdr:to>
    <xdr:sp macro="" textlink="">
      <xdr:nvSpPr>
        <xdr:cNvPr id="49" name="右中かっこ 48">
          <a:extLst>
            <a:ext uri="{FF2B5EF4-FFF2-40B4-BE49-F238E27FC236}">
              <a16:creationId xmlns:a16="http://schemas.microsoft.com/office/drawing/2014/main" id="{00000000-0008-0000-0100-000031000000}"/>
            </a:ext>
          </a:extLst>
        </xdr:cNvPr>
        <xdr:cNvSpPr/>
      </xdr:nvSpPr>
      <xdr:spPr>
        <a:xfrm>
          <a:off x="6290407" y="12580815"/>
          <a:ext cx="425450" cy="1387475"/>
        </a:xfrm>
        <a:prstGeom prst="rightBrace">
          <a:avLst>
            <a:gd name="adj1" fmla="val 2109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58084</xdr:colOff>
      <xdr:row>77</xdr:row>
      <xdr:rowOff>21254</xdr:rowOff>
    </xdr:from>
    <xdr:to>
      <xdr:col>36</xdr:col>
      <xdr:colOff>496234</xdr:colOff>
      <xdr:row>80</xdr:row>
      <xdr:rowOff>246529</xdr:rowOff>
    </xdr:to>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7020672" y="16605960"/>
          <a:ext cx="2612091" cy="92004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chemeClr val="tx1"/>
              </a:solidFill>
              <a:latin typeface="ＭＳ ゴシック" panose="020B0609070205080204" pitchFamily="49" charset="-128"/>
              <a:ea typeface="ＭＳ ゴシック" panose="020B0609070205080204" pitchFamily="49" charset="-128"/>
            </a:rPr>
            <a:t>※</a:t>
          </a:r>
          <a:r>
            <a:rPr kumimoji="1" lang="ja-JP" altLang="en-US" sz="1050" b="1">
              <a:solidFill>
                <a:schemeClr val="tx1"/>
              </a:solidFill>
              <a:latin typeface="ＭＳ ゴシック" panose="020B0609070205080204" pitchFamily="49" charset="-128"/>
              <a:ea typeface="ＭＳ ゴシック" panose="020B0609070205080204" pitchFamily="49" charset="-128"/>
            </a:rPr>
            <a:t>この欄に記載した「企業名」「代表者名」「本店所在地」が転記される元データとなります。履歴事項全部証明書と一致させてください。</a:t>
          </a:r>
          <a:endParaRPr lang="ja-JP" altLang="ja-JP" sz="105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361950</xdr:colOff>
      <xdr:row>92</xdr:row>
      <xdr:rowOff>76200</xdr:rowOff>
    </xdr:from>
    <xdr:to>
      <xdr:col>36</xdr:col>
      <xdr:colOff>485775</xdr:colOff>
      <xdr:row>98</xdr:row>
      <xdr:rowOff>139700</xdr:rowOff>
    </xdr:to>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6584950" y="16529050"/>
          <a:ext cx="2682875" cy="13779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b="1">
              <a:solidFill>
                <a:schemeClr val="tx1"/>
              </a:solidFill>
              <a:effectLst/>
              <a:latin typeface="ＭＳ ゴシック" panose="020B0609070205080204" pitchFamily="49" charset="-128"/>
              <a:ea typeface="ＭＳ ゴシック" panose="020B0609070205080204" pitchFamily="49" charset="-128"/>
            </a:rPr>
            <a:t>※</a:t>
          </a:r>
          <a:r>
            <a:rPr lang="ja-JP" altLang="en-US" sz="1050" b="1">
              <a:solidFill>
                <a:schemeClr val="tx1"/>
              </a:solidFill>
              <a:effectLst/>
              <a:latin typeface="ＭＳ ゴシック" panose="020B0609070205080204" pitchFamily="49" charset="-128"/>
              <a:ea typeface="ＭＳ ゴシック" panose="020B0609070205080204" pitchFamily="49" charset="-128"/>
            </a:rPr>
            <a:t>基準日現在の従業員内訳／事業所毎の常用従業員数と役員数を各々記載してください。</a:t>
          </a:r>
        </a:p>
        <a:p>
          <a:pPr algn="l"/>
          <a:r>
            <a:rPr lang="en-US" altLang="ja-JP" sz="1050" b="1">
              <a:solidFill>
                <a:schemeClr val="tx1"/>
              </a:solidFill>
              <a:effectLst/>
              <a:latin typeface="ＭＳ ゴシック" panose="020B0609070205080204" pitchFamily="49" charset="-128"/>
              <a:ea typeface="ＭＳ ゴシック" panose="020B0609070205080204" pitchFamily="49" charset="-128"/>
            </a:rPr>
            <a:t>※</a:t>
          </a:r>
          <a:r>
            <a:rPr lang="ja-JP" altLang="en-US" sz="1050" b="1">
              <a:solidFill>
                <a:schemeClr val="tx1"/>
              </a:solidFill>
              <a:effectLst/>
              <a:latin typeface="ＭＳ ゴシック" panose="020B0609070205080204" pitchFamily="49" charset="-128"/>
              <a:ea typeface="ＭＳ ゴシック" panose="020B0609070205080204" pitchFamily="49" charset="-128"/>
            </a:rPr>
            <a:t>事業所の数が多く書ききれない場合は、「その他」の欄に纏めて記入してください。</a:t>
          </a:r>
        </a:p>
        <a:p>
          <a:pPr algn="l"/>
          <a:endParaRPr lang="ja-JP" altLang="en-US" sz="1050" b="1">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ja-JP" sz="1050" b="1">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29</xdr:col>
      <xdr:colOff>168275</xdr:colOff>
      <xdr:row>156</xdr:row>
      <xdr:rowOff>6350</xdr:rowOff>
    </xdr:from>
    <xdr:to>
      <xdr:col>39</xdr:col>
      <xdr:colOff>165100</xdr:colOff>
      <xdr:row>163</xdr:row>
      <xdr:rowOff>114299</xdr:rowOff>
    </xdr:to>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6759575" y="32772350"/>
          <a:ext cx="3616325" cy="154304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b="1">
              <a:solidFill>
                <a:schemeClr val="tx1"/>
              </a:solidFill>
              <a:effectLst/>
              <a:latin typeface="ＭＳ ゴシック" panose="020B0609070205080204" pitchFamily="49" charset="-128"/>
              <a:ea typeface="ＭＳ ゴシック" panose="020B0609070205080204" pitchFamily="49" charset="-128"/>
            </a:rPr>
            <a:t>※</a:t>
          </a:r>
          <a:r>
            <a:rPr lang="ja-JP" altLang="en-US" sz="1050" b="1">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b="1">
              <a:solidFill>
                <a:schemeClr val="tx1"/>
              </a:solidFill>
              <a:effectLst/>
              <a:latin typeface="ＭＳ ゴシック" panose="020B0609070205080204" pitchFamily="49" charset="-128"/>
              <a:ea typeface="ＭＳ ゴシック" panose="020B0609070205080204" pitchFamily="49" charset="-128"/>
            </a:rPr>
            <a:t>※</a:t>
          </a:r>
          <a:r>
            <a:rPr lang="ja-JP" altLang="en-US" sz="1050" b="1">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都外設置の場合は、基準日現在で、東京都内に登記簿上の本店があり、神奈川県、埼玉県、千葉県、群馬県、栃木県、茨城県、山梨県に所在する工場等であることが条件です。</a:t>
          </a:r>
        </a:p>
        <a:p>
          <a:pPr algn="l"/>
          <a:endParaRPr lang="ja-JP" altLang="en-US" sz="1050" b="1">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b="1">
            <a:solidFill>
              <a:schemeClr val="tx1"/>
            </a:solidFill>
            <a:effectLst/>
          </a:endParaRPr>
        </a:p>
        <a:p>
          <a:pPr algn="l"/>
          <a:endParaRPr lang="ja-JP" altLang="ja-JP" sz="1050" b="1">
            <a:solidFill>
              <a:schemeClr val="tx1"/>
            </a:solidFill>
            <a:effectLst/>
          </a:endParaRPr>
        </a:p>
      </xdr:txBody>
    </xdr:sp>
    <xdr:clientData/>
  </xdr:twoCellAnchor>
  <xdr:twoCellAnchor>
    <xdr:from>
      <xdr:col>28</xdr:col>
      <xdr:colOff>69850</xdr:colOff>
      <xdr:row>49</xdr:row>
      <xdr:rowOff>29883</xdr:rowOff>
    </xdr:from>
    <xdr:to>
      <xdr:col>29</xdr:col>
      <xdr:colOff>25688</xdr:colOff>
      <xdr:row>57</xdr:row>
      <xdr:rowOff>6350</xdr:rowOff>
    </xdr:to>
    <xdr:sp macro="" textlink="">
      <xdr:nvSpPr>
        <xdr:cNvPr id="47" name="右中かっこ 46">
          <a:extLst>
            <a:ext uri="{FF2B5EF4-FFF2-40B4-BE49-F238E27FC236}">
              <a16:creationId xmlns:a16="http://schemas.microsoft.com/office/drawing/2014/main" id="{00000000-0008-0000-0100-00002F000000}"/>
            </a:ext>
          </a:extLst>
        </xdr:cNvPr>
        <xdr:cNvSpPr/>
      </xdr:nvSpPr>
      <xdr:spPr>
        <a:xfrm>
          <a:off x="6673850" y="12326471"/>
          <a:ext cx="314426" cy="648820"/>
        </a:xfrm>
        <a:prstGeom prst="rightBrace">
          <a:avLst>
            <a:gd name="adj1" fmla="val 2579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29509</xdr:colOff>
      <xdr:row>48</xdr:row>
      <xdr:rowOff>158750</xdr:rowOff>
    </xdr:from>
    <xdr:to>
      <xdr:col>37</xdr:col>
      <xdr:colOff>12701</xdr:colOff>
      <xdr:row>56</xdr:row>
      <xdr:rowOff>88900</xdr:rowOff>
    </xdr:to>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7027209" y="9702800"/>
          <a:ext cx="2688292" cy="13589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chemeClr val="tx1"/>
              </a:solidFill>
              <a:latin typeface="ＭＳ Ｐゴシック" panose="020B0600070205080204" pitchFamily="50" charset="-128"/>
              <a:ea typeface="ＭＳ Ｐゴシック" panose="020B0600070205080204" pitchFamily="50" charset="-128"/>
            </a:rPr>
            <a:t>※</a:t>
          </a:r>
          <a:r>
            <a:rPr kumimoji="1" lang="ja-JP" altLang="en-US" sz="1050" b="1">
              <a:solidFill>
                <a:schemeClr val="tx1"/>
              </a:solidFill>
              <a:latin typeface="ＭＳ Ｐゴシック" panose="020B0600070205080204" pitchFamily="50" charset="-128"/>
              <a:ea typeface="ＭＳ Ｐゴシック" panose="020B0600070205080204" pitchFamily="50" charset="-128"/>
            </a:rPr>
            <a:t> 「ｾﾞﾛｴﾐ」・「賃上げ」適用を希望した場合、審査過程で「ｾﾞﾛｴﾐ」・「賃上げ」不適となった際に、助成率が低い</a:t>
          </a:r>
          <a:r>
            <a:rPr kumimoji="1" lang="ja-JP"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「Ａ</a:t>
          </a:r>
          <a:r>
            <a:rPr kumimoji="1" lang="en-US"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1</a:t>
          </a:r>
          <a:r>
            <a:rPr kumimoji="1" lang="ja-JP"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」「Ｂ</a:t>
          </a:r>
          <a:r>
            <a:rPr kumimoji="1" lang="en-US"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1</a:t>
          </a:r>
          <a:r>
            <a:rPr kumimoji="1" lang="ja-JP"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「Ｃ</a:t>
          </a:r>
          <a:r>
            <a:rPr kumimoji="1" lang="en-US"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1</a:t>
          </a:r>
          <a:r>
            <a:rPr kumimoji="1" lang="ja-JP" altLang="en-US"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」「Ｄ</a:t>
          </a:r>
          <a:r>
            <a:rPr kumimoji="1" lang="en-US"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1</a:t>
          </a:r>
          <a:r>
            <a:rPr kumimoji="1" lang="ja-JP" altLang="en-US"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」「Ｅ</a:t>
          </a:r>
          <a:r>
            <a:rPr kumimoji="1" lang="en-US"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1</a:t>
          </a:r>
          <a:r>
            <a:rPr kumimoji="1" lang="ja-JP" altLang="en-US"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」へ変更して審査を継続する場合は「</a:t>
          </a:r>
          <a:r>
            <a:rPr kumimoji="1" lang="en-US"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α</a:t>
          </a:r>
          <a:r>
            <a:rPr kumimoji="1" lang="ja-JP" altLang="en-US"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」を付して提出してください。「</a:t>
          </a:r>
          <a:r>
            <a:rPr kumimoji="1" lang="en-US"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β</a:t>
          </a:r>
          <a:r>
            <a:rPr kumimoji="1" lang="ja-JP" altLang="en-US"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」を付している場合は「</a:t>
          </a:r>
          <a:r>
            <a:rPr kumimoji="1"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ｾﾞﾛｴﾐ」</a:t>
          </a:r>
          <a:r>
            <a:rPr kumimoji="1" lang="ja-JP" altLang="en-US"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・「賃上げ」不</a:t>
          </a:r>
          <a:r>
            <a:rPr kumimoji="1"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適</a:t>
          </a:r>
          <a:r>
            <a:rPr kumimoji="1" lang="ja-JP" altLang="en-US"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となった時点で不採択が決定します。</a:t>
          </a:r>
          <a:endPar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62794</xdr:colOff>
      <xdr:row>6</xdr:row>
      <xdr:rowOff>21167</xdr:rowOff>
    </xdr:from>
    <xdr:to>
      <xdr:col>27</xdr:col>
      <xdr:colOff>369646</xdr:colOff>
      <xdr:row>27</xdr:row>
      <xdr:rowOff>21167</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6137627" y="783167"/>
          <a:ext cx="306852" cy="4720167"/>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346076</xdr:colOff>
      <xdr:row>10</xdr:row>
      <xdr:rowOff>110066</xdr:rowOff>
    </xdr:from>
    <xdr:to>
      <xdr:col>34</xdr:col>
      <xdr:colOff>225778</xdr:colOff>
      <xdr:row>20</xdr:row>
      <xdr:rowOff>98777</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6420909" y="2029177"/>
          <a:ext cx="2320925" cy="202071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都外設置の場合は、基準日現在で、東京都内に登記簿上の本店があり、神奈川県、埼玉県、千葉県、群馬県、栃木県、茨城県、山梨県に所在する工場等であることが条件です。</a:t>
          </a:r>
        </a:p>
        <a:p>
          <a:pPr algn="l"/>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27</xdr:col>
      <xdr:colOff>98073</xdr:colOff>
      <xdr:row>30</xdr:row>
      <xdr:rowOff>28223</xdr:rowOff>
    </xdr:from>
    <xdr:to>
      <xdr:col>27</xdr:col>
      <xdr:colOff>404925</xdr:colOff>
      <xdr:row>51</xdr:row>
      <xdr:rowOff>37749</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6172906" y="5870223"/>
          <a:ext cx="306852" cy="4729693"/>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394053</xdr:colOff>
      <xdr:row>32</xdr:row>
      <xdr:rowOff>225778</xdr:rowOff>
    </xdr:from>
    <xdr:to>
      <xdr:col>35</xdr:col>
      <xdr:colOff>183445</xdr:colOff>
      <xdr:row>42</xdr:row>
      <xdr:rowOff>183444</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6468886" y="6688667"/>
          <a:ext cx="2534003" cy="21872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都外設置の場合は、基準日現在で、東京都内に登記簿上の本店があり、神奈川県、埼玉県、千葉県、群馬県、栃木県、茨城県、山梨県に所在する工場等であることが条件です。</a:t>
          </a:r>
        </a:p>
        <a:p>
          <a:pPr algn="l"/>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27</xdr:col>
      <xdr:colOff>76905</xdr:colOff>
      <xdr:row>55</xdr:row>
      <xdr:rowOff>0</xdr:rowOff>
    </xdr:from>
    <xdr:to>
      <xdr:col>27</xdr:col>
      <xdr:colOff>383757</xdr:colOff>
      <xdr:row>76</xdr:row>
      <xdr:rowOff>0</xdr:rowOff>
    </xdr:to>
    <xdr:sp macro="" textlink="">
      <xdr:nvSpPr>
        <xdr:cNvPr id="6" name="右中かっこ 5">
          <a:extLst>
            <a:ext uri="{FF2B5EF4-FFF2-40B4-BE49-F238E27FC236}">
              <a16:creationId xmlns:a16="http://schemas.microsoft.com/office/drawing/2014/main" id="{00000000-0008-0000-0200-000006000000}"/>
            </a:ext>
          </a:extLst>
        </xdr:cNvPr>
        <xdr:cNvSpPr/>
      </xdr:nvSpPr>
      <xdr:spPr>
        <a:xfrm>
          <a:off x="6151738" y="11147778"/>
          <a:ext cx="306852" cy="4720166"/>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422275</xdr:colOff>
      <xdr:row>60</xdr:row>
      <xdr:rowOff>6351</xdr:rowOff>
    </xdr:from>
    <xdr:to>
      <xdr:col>35</xdr:col>
      <xdr:colOff>84667</xdr:colOff>
      <xdr:row>71</xdr:row>
      <xdr:rowOff>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6497108" y="12579351"/>
          <a:ext cx="2407003" cy="220909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都外設置の場合は、基準日現在で、東京都内に登記簿上の本店があり、神奈川県、埼玉県、千葉県、群馬県、栃木県、茨城県、山梨県に所在する工場等であることが条件です。</a:t>
          </a:r>
        </a:p>
        <a:p>
          <a:pPr algn="l"/>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27</xdr:col>
      <xdr:colOff>91017</xdr:colOff>
      <xdr:row>79</xdr:row>
      <xdr:rowOff>14112</xdr:rowOff>
    </xdr:from>
    <xdr:to>
      <xdr:col>27</xdr:col>
      <xdr:colOff>397869</xdr:colOff>
      <xdr:row>102</xdr:row>
      <xdr:rowOff>23638</xdr:rowOff>
    </xdr:to>
    <xdr:sp macro="" textlink="">
      <xdr:nvSpPr>
        <xdr:cNvPr id="8" name="右中かっこ 7">
          <a:extLst>
            <a:ext uri="{FF2B5EF4-FFF2-40B4-BE49-F238E27FC236}">
              <a16:creationId xmlns:a16="http://schemas.microsoft.com/office/drawing/2014/main" id="{00000000-0008-0000-0200-000008000000}"/>
            </a:ext>
          </a:extLst>
        </xdr:cNvPr>
        <xdr:cNvSpPr/>
      </xdr:nvSpPr>
      <xdr:spPr>
        <a:xfrm>
          <a:off x="6165850" y="16390056"/>
          <a:ext cx="306852" cy="5110693"/>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450498</xdr:colOff>
      <xdr:row>85</xdr:row>
      <xdr:rowOff>98073</xdr:rowOff>
    </xdr:from>
    <xdr:to>
      <xdr:col>35</xdr:col>
      <xdr:colOff>211667</xdr:colOff>
      <xdr:row>94</xdr:row>
      <xdr:rowOff>169333</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6525331" y="18089740"/>
          <a:ext cx="2505780" cy="187748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都外設置の場合は、基準日現在で、東京都内に登記簿上の本店があり、神奈川県、埼玉県、千葉県、群馬県、栃木県、茨城県、山梨県に所在する工場等であることが条件です。</a:t>
          </a:r>
        </a:p>
        <a:p>
          <a:pPr algn="l"/>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27</xdr:col>
      <xdr:colOff>76906</xdr:colOff>
      <xdr:row>105</xdr:row>
      <xdr:rowOff>0</xdr:rowOff>
    </xdr:from>
    <xdr:to>
      <xdr:col>27</xdr:col>
      <xdr:colOff>383758</xdr:colOff>
      <xdr:row>126</xdr:row>
      <xdr:rowOff>0</xdr:rowOff>
    </xdr:to>
    <xdr:sp macro="" textlink="">
      <xdr:nvSpPr>
        <xdr:cNvPr id="10" name="右中かっこ 9">
          <a:extLst>
            <a:ext uri="{FF2B5EF4-FFF2-40B4-BE49-F238E27FC236}">
              <a16:creationId xmlns:a16="http://schemas.microsoft.com/office/drawing/2014/main" id="{00000000-0008-0000-0200-00000A000000}"/>
            </a:ext>
          </a:extLst>
        </xdr:cNvPr>
        <xdr:cNvSpPr/>
      </xdr:nvSpPr>
      <xdr:spPr>
        <a:xfrm>
          <a:off x="6151739" y="21942778"/>
          <a:ext cx="306852" cy="4720166"/>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450498</xdr:colOff>
      <xdr:row>110</xdr:row>
      <xdr:rowOff>69851</xdr:rowOff>
    </xdr:from>
    <xdr:to>
      <xdr:col>35</xdr:col>
      <xdr:colOff>388057</xdr:colOff>
      <xdr:row>120</xdr:row>
      <xdr:rowOff>56445</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6525331" y="23437851"/>
          <a:ext cx="2682170" cy="198331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都外設置の場合は、基準日現在で、東京都内に登記簿上の本店があり、神奈川県、埼玉県、千葉県、群馬県、栃木県、茨城県、山梨県に所在する工場等であることが条件です。</a:t>
          </a:r>
        </a:p>
        <a:p>
          <a:pPr algn="l"/>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27</xdr:col>
      <xdr:colOff>105128</xdr:colOff>
      <xdr:row>128</xdr:row>
      <xdr:rowOff>0</xdr:rowOff>
    </xdr:from>
    <xdr:to>
      <xdr:col>27</xdr:col>
      <xdr:colOff>411980</xdr:colOff>
      <xdr:row>149</xdr:row>
      <xdr:rowOff>171804</xdr:rowOff>
    </xdr:to>
    <xdr:sp macro="" textlink="">
      <xdr:nvSpPr>
        <xdr:cNvPr id="12" name="右中かっこ 11">
          <a:extLst>
            <a:ext uri="{FF2B5EF4-FFF2-40B4-BE49-F238E27FC236}">
              <a16:creationId xmlns:a16="http://schemas.microsoft.com/office/drawing/2014/main" id="{00000000-0008-0000-0200-00000C000000}"/>
            </a:ext>
          </a:extLst>
        </xdr:cNvPr>
        <xdr:cNvSpPr/>
      </xdr:nvSpPr>
      <xdr:spPr>
        <a:xfrm>
          <a:off x="6179961" y="27100389"/>
          <a:ext cx="306852" cy="4729693"/>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415220</xdr:colOff>
      <xdr:row>133</xdr:row>
      <xdr:rowOff>225073</xdr:rowOff>
    </xdr:from>
    <xdr:to>
      <xdr:col>36</xdr:col>
      <xdr:colOff>14111</xdr:colOff>
      <xdr:row>142</xdr:row>
      <xdr:rowOff>56445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6490053" y="28510795"/>
          <a:ext cx="2830336" cy="175048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都外設置の場合は、基準日現在で、東京都内に登記簿上の本店があり、神奈川県、埼玉県、千葉県、群馬県、栃木県、茨城県、山梨県に所在する工場等であることが条件です。</a:t>
          </a:r>
        </a:p>
        <a:p>
          <a:pPr algn="l"/>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27</xdr:col>
      <xdr:colOff>310445</xdr:colOff>
      <xdr:row>147</xdr:row>
      <xdr:rowOff>91016</xdr:rowOff>
    </xdr:from>
    <xdr:to>
      <xdr:col>35</xdr:col>
      <xdr:colOff>352780</xdr:colOff>
      <xdr:row>153</xdr:row>
      <xdr:rowOff>204611</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6385278" y="31198960"/>
          <a:ext cx="2786946" cy="1743429"/>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Excel</a:t>
          </a:r>
          <a:r>
            <a:rPr lang="ja-JP" altLang="en-US" sz="1050">
              <a:solidFill>
                <a:schemeClr val="tx1"/>
              </a:solidFill>
              <a:effectLst/>
              <a:latin typeface="ＭＳ ゴシック" panose="020B0609070205080204" pitchFamily="49" charset="-128"/>
              <a:ea typeface="ＭＳ ゴシック" panose="020B0609070205080204" pitchFamily="49" charset="-128"/>
            </a:rPr>
            <a:t>の画面上方の［校閲］タブをクリック ⇒［シートの保護解除］をクリックすると保護が解除されます。行全体をコピー・挿入により記入欄の行全体を追加してください。追加後には［校閲］タブの［シートの保護］をクリックしてそのまま［</a:t>
          </a:r>
          <a:r>
            <a:rPr lang="en-US" altLang="ja-JP" sz="1050">
              <a:solidFill>
                <a:schemeClr val="tx1"/>
              </a:solidFill>
              <a:effectLst/>
              <a:latin typeface="ＭＳ ゴシック" panose="020B0609070205080204" pitchFamily="49" charset="-128"/>
              <a:ea typeface="ＭＳ ゴシック" panose="020B0609070205080204" pitchFamily="49" charset="-128"/>
            </a:rPr>
            <a:t>ok</a:t>
          </a:r>
          <a:r>
            <a:rPr lang="ja-JP" altLang="en-US" sz="1050">
              <a:solidFill>
                <a:schemeClr val="tx1"/>
              </a:solidFill>
              <a:effectLst/>
              <a:latin typeface="ＭＳ ゴシック" panose="020B0609070205080204" pitchFamily="49" charset="-128"/>
              <a:ea typeface="ＭＳ ゴシック" panose="020B0609070205080204" pitchFamily="49" charset="-128"/>
            </a:rPr>
            <a:t>］ボタンをクリックしてシート保護の状態に戻してください。</a:t>
          </a:r>
          <a:endParaRPr lang="ja-JP" altLang="ja-JP" sz="105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27</xdr:col>
      <xdr:colOff>31750</xdr:colOff>
      <xdr:row>150</xdr:row>
      <xdr:rowOff>63500</xdr:rowOff>
    </xdr:from>
    <xdr:to>
      <xdr:col>27</xdr:col>
      <xdr:colOff>298450</xdr:colOff>
      <xdr:row>150</xdr:row>
      <xdr:rowOff>342900</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a:off x="6013450" y="31915100"/>
          <a:ext cx="266700" cy="2794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42</xdr:col>
      <xdr:colOff>66675</xdr:colOff>
      <xdr:row>4</xdr:row>
      <xdr:rowOff>47626</xdr:rowOff>
    </xdr:from>
    <xdr:to>
      <xdr:col>43</xdr:col>
      <xdr:colOff>133351</xdr:colOff>
      <xdr:row>10</xdr:row>
      <xdr:rowOff>523876</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9229725" y="657226"/>
          <a:ext cx="295276" cy="3676650"/>
        </a:xfrm>
        <a:prstGeom prst="rightBrace">
          <a:avLst>
            <a:gd name="adj1" fmla="val 2303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66676</xdr:colOff>
      <xdr:row>26</xdr:row>
      <xdr:rowOff>180974</xdr:rowOff>
    </xdr:from>
    <xdr:to>
      <xdr:col>43</xdr:col>
      <xdr:colOff>142876</xdr:colOff>
      <xdr:row>30</xdr:row>
      <xdr:rowOff>419099</xdr:rowOff>
    </xdr:to>
    <xdr:sp macro="" textlink="">
      <xdr:nvSpPr>
        <xdr:cNvPr id="6" name="右中かっこ 5">
          <a:extLst>
            <a:ext uri="{FF2B5EF4-FFF2-40B4-BE49-F238E27FC236}">
              <a16:creationId xmlns:a16="http://schemas.microsoft.com/office/drawing/2014/main" id="{00000000-0008-0000-0300-000006000000}"/>
            </a:ext>
          </a:extLst>
        </xdr:cNvPr>
        <xdr:cNvSpPr/>
      </xdr:nvSpPr>
      <xdr:spPr>
        <a:xfrm>
          <a:off x="9172576" y="7223124"/>
          <a:ext cx="304800" cy="1965325"/>
        </a:xfrm>
        <a:prstGeom prst="rightBrace">
          <a:avLst>
            <a:gd name="adj1" fmla="val 2303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180974</xdr:colOff>
      <xdr:row>26</xdr:row>
      <xdr:rowOff>238124</xdr:rowOff>
    </xdr:from>
    <xdr:to>
      <xdr:col>47</xdr:col>
      <xdr:colOff>101600</xdr:colOff>
      <xdr:row>33</xdr:row>
      <xdr:rowOff>107950</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515474" y="7280274"/>
          <a:ext cx="1882776" cy="289242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同一機種での相見積書の提出が必要。　</a:t>
          </a: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但し「</a:t>
          </a:r>
          <a:r>
            <a:rPr kumimoji="1" lang="ja-JP" altLang="en-US" sz="1100" b="1">
              <a:solidFill>
                <a:srgbClr val="0000FF"/>
              </a:solidFill>
              <a:latin typeface="ＭＳ ゴシック" panose="020B0609070205080204" pitchFamily="49" charset="-128"/>
              <a:ea typeface="ＭＳ ゴシック" panose="020B0609070205080204" pitchFamily="49" charset="-128"/>
            </a:rPr>
            <a:t>オーダーメイド</a:t>
          </a:r>
          <a:r>
            <a:rPr kumimoji="1" lang="ja-JP" altLang="en-US"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rgbClr val="0000FF"/>
              </a:solidFill>
              <a:latin typeface="ＭＳ ゴシック" panose="020B0609070205080204" pitchFamily="49" charset="-128"/>
              <a:ea typeface="ＭＳ ゴシック" panose="020B0609070205080204" pitchFamily="49" charset="-128"/>
            </a:rPr>
            <a:t>メーカー直販</a:t>
          </a:r>
          <a:r>
            <a:rPr kumimoji="1" lang="ja-JP" altLang="en-US"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rgbClr val="0000FF"/>
              </a:solidFill>
              <a:latin typeface="ＭＳ ゴシック" panose="020B0609070205080204" pitchFamily="49" charset="-128"/>
              <a:ea typeface="ＭＳ ゴシック" panose="020B0609070205080204" pitchFamily="49" charset="-128"/>
            </a:rPr>
            <a:t>特定代理店販売により、販売経路が限られているため</a:t>
          </a:r>
          <a:r>
            <a:rPr kumimoji="1" lang="ja-JP" altLang="en-US" sz="1100" b="1">
              <a:solidFill>
                <a:schemeClr val="tx1"/>
              </a:solidFill>
              <a:latin typeface="ＭＳ ゴシック" panose="020B0609070205080204" pitchFamily="49" charset="-128"/>
              <a:ea typeface="ＭＳ ゴシック" panose="020B0609070205080204" pitchFamily="49" charset="-128"/>
            </a:rPr>
            <a:t>」のいずれかの理由のみ、「見積限定理由書」を提出することにより相見積書の提出は免除されます。前記３つの理由以外の理由では認められないため</a:t>
          </a: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42</xdr:col>
      <xdr:colOff>60325</xdr:colOff>
      <xdr:row>25</xdr:row>
      <xdr:rowOff>28575</xdr:rowOff>
    </xdr:from>
    <xdr:to>
      <xdr:col>43</xdr:col>
      <xdr:colOff>203200</xdr:colOff>
      <xdr:row>25</xdr:row>
      <xdr:rowOff>428625</xdr:rowOff>
    </xdr:to>
    <xdr:sp macro="" textlink="">
      <xdr:nvSpPr>
        <xdr:cNvPr id="10" name="右矢印 9">
          <a:extLst>
            <a:ext uri="{FF2B5EF4-FFF2-40B4-BE49-F238E27FC236}">
              <a16:creationId xmlns:a16="http://schemas.microsoft.com/office/drawing/2014/main" id="{00000000-0008-0000-0300-00000A000000}"/>
            </a:ext>
          </a:extLst>
        </xdr:cNvPr>
        <xdr:cNvSpPr/>
      </xdr:nvSpPr>
      <xdr:spPr>
        <a:xfrm rot="10800000">
          <a:off x="9166225" y="6638925"/>
          <a:ext cx="371475" cy="400050"/>
        </a:xfrm>
        <a:prstGeom prst="rightArrow">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69850</xdr:colOff>
      <xdr:row>18</xdr:row>
      <xdr:rowOff>114300</xdr:rowOff>
    </xdr:from>
    <xdr:to>
      <xdr:col>43</xdr:col>
      <xdr:colOff>88900</xdr:colOff>
      <xdr:row>20</xdr:row>
      <xdr:rowOff>28575</xdr:rowOff>
    </xdr:to>
    <xdr:sp macro="" textlink="">
      <xdr:nvSpPr>
        <xdr:cNvPr id="8" name="右矢印 7">
          <a:extLst>
            <a:ext uri="{FF2B5EF4-FFF2-40B4-BE49-F238E27FC236}">
              <a16:creationId xmlns:a16="http://schemas.microsoft.com/office/drawing/2014/main" id="{00000000-0008-0000-0300-000008000000}"/>
            </a:ext>
          </a:extLst>
        </xdr:cNvPr>
        <xdr:cNvSpPr/>
      </xdr:nvSpPr>
      <xdr:spPr>
        <a:xfrm>
          <a:off x="9175750" y="5302250"/>
          <a:ext cx="247650" cy="231775"/>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82550</xdr:colOff>
      <xdr:row>35</xdr:row>
      <xdr:rowOff>0</xdr:rowOff>
    </xdr:from>
    <xdr:to>
      <xdr:col>43</xdr:col>
      <xdr:colOff>101600</xdr:colOff>
      <xdr:row>37</xdr:row>
      <xdr:rowOff>0</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9188450" y="10833100"/>
          <a:ext cx="247650" cy="1905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107950</xdr:colOff>
      <xdr:row>34</xdr:row>
      <xdr:rowOff>371475</xdr:rowOff>
    </xdr:from>
    <xdr:to>
      <xdr:col>58</xdr:col>
      <xdr:colOff>307975</xdr:colOff>
      <xdr:row>37</xdr:row>
      <xdr:rowOff>95250</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9442450" y="10753725"/>
          <a:ext cx="8347075" cy="365125"/>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solidFill>
                <a:schemeClr val="tx1"/>
              </a:solidFill>
              <a:effectLst/>
              <a:latin typeface="ＭＳ ゴシック" panose="020B0609070205080204" pitchFamily="49" charset="-128"/>
              <a:ea typeface="ＭＳ ゴシック" panose="020B0609070205080204" pitchFamily="49" charset="-128"/>
            </a:rPr>
            <a:t>１．「（１）機械設備一覧表」の行コピー・挿入の説明（欄外に記載した説明）と同様に進めてください。</a:t>
          </a:r>
          <a:endParaRPr lang="ja-JP" altLang="ja-JP" sz="105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158749</xdr:colOff>
      <xdr:row>0</xdr:row>
      <xdr:rowOff>44449</xdr:rowOff>
    </xdr:from>
    <xdr:to>
      <xdr:col>48</xdr:col>
      <xdr:colOff>222249</xdr:colOff>
      <xdr:row>2</xdr:row>
      <xdr:rowOff>184150</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9264649" y="44449"/>
          <a:ext cx="2813050" cy="4445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a:t>
          </a:r>
          <a:r>
            <a:rPr kumimoji="1" lang="ja-JP" altLang="en-US" sz="1100" b="1">
              <a:solidFill>
                <a:srgbClr val="FF0000"/>
              </a:solidFill>
              <a:latin typeface="ＭＳ ゴシック" panose="020B0609070205080204" pitchFamily="49" charset="-128"/>
              <a:ea typeface="ＭＳ ゴシック" panose="020B0609070205080204" pitchFamily="49" charset="-128"/>
            </a:rPr>
            <a:t>ＡＳ列～ＡＷ列の表は改変不可</a:t>
          </a:r>
          <a:r>
            <a:rPr kumimoji="1" lang="ja-JP" altLang="en-US" sz="1100" b="1">
              <a:solidFill>
                <a:schemeClr val="tx1"/>
              </a:solidFill>
              <a:latin typeface="ＭＳ ゴシック" panose="020B0609070205080204" pitchFamily="49" charset="-128"/>
              <a:ea typeface="ＭＳ ゴシック" panose="020B0609070205080204" pitchFamily="49" charset="-128"/>
            </a:rPr>
            <a:t>」</a:t>
          </a:r>
          <a:endPar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43</xdr:col>
      <xdr:colOff>190500</xdr:colOff>
      <xdr:row>24</xdr:row>
      <xdr:rowOff>266700</xdr:rowOff>
    </xdr:from>
    <xdr:to>
      <xdr:col>47</xdr:col>
      <xdr:colOff>95250</xdr:colOff>
      <xdr:row>26</xdr:row>
      <xdr:rowOff>187325</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9525000" y="6445250"/>
          <a:ext cx="1866900" cy="784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助成対象期間内に事業が終了するように、予定年月を選定してください。</a:t>
          </a:r>
          <a:r>
            <a:rPr kumimoji="1" lang="ja-JP" altLang="en-US" sz="1100" b="1">
              <a:solidFill>
                <a:schemeClr val="tx1"/>
              </a:solidFill>
            </a:rPr>
            <a:t>　</a:t>
          </a:r>
          <a:endParaRPr kumimoji="1" lang="ja-JP" altLang="en-US" sz="1100" b="1">
            <a:solidFill>
              <a:sysClr val="windowText" lastClr="000000"/>
            </a:solidFill>
            <a:effectLst/>
            <a:latin typeface="+mn-lt"/>
            <a:ea typeface="+mn-ea"/>
            <a:cs typeface="+mn-cs"/>
          </a:endParaRPr>
        </a:p>
      </xdr:txBody>
    </xdr:sp>
    <xdr:clientData/>
  </xdr:twoCellAnchor>
  <xdr:twoCellAnchor>
    <xdr:from>
      <xdr:col>43</xdr:col>
      <xdr:colOff>269185</xdr:colOff>
      <xdr:row>3</xdr:row>
      <xdr:rowOff>57701</xdr:rowOff>
    </xdr:from>
    <xdr:to>
      <xdr:col>48</xdr:col>
      <xdr:colOff>507724</xdr:colOff>
      <xdr:row>10</xdr:row>
      <xdr:rowOff>351182</xdr:rowOff>
    </xdr:to>
    <xdr:sp macro="" textlink="">
      <xdr:nvSpPr>
        <xdr:cNvPr id="26" name="正方形/長方形 25">
          <a:extLst>
            <a:ext uri="{FF2B5EF4-FFF2-40B4-BE49-F238E27FC236}">
              <a16:creationId xmlns:a16="http://schemas.microsoft.com/office/drawing/2014/main" id="{00000000-0008-0000-0300-00000F000000}"/>
            </a:ext>
          </a:extLst>
        </xdr:cNvPr>
        <xdr:cNvSpPr/>
      </xdr:nvSpPr>
      <xdr:spPr>
        <a:xfrm>
          <a:off x="9559235" y="578401"/>
          <a:ext cx="2734089" cy="29731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導入する機械設備等を「</a:t>
          </a:r>
          <a:r>
            <a:rPr kumimoji="1" lang="ja-JP" altLang="en-US" sz="1100" b="1">
              <a:solidFill>
                <a:srgbClr val="FF0000"/>
              </a:solidFill>
              <a:latin typeface="ＭＳ ゴシック" panose="020B0609070205080204" pitchFamily="49" charset="-128"/>
              <a:ea typeface="ＭＳ ゴシック" panose="020B0609070205080204" pitchFamily="49" charset="-128"/>
            </a:rPr>
            <a:t>法人税法上の減価償却単位毎</a:t>
          </a:r>
          <a:r>
            <a:rPr kumimoji="1" lang="ja-JP" altLang="en-US" sz="1100" b="1">
              <a:solidFill>
                <a:schemeClr val="tx1"/>
              </a:solidFill>
              <a:latin typeface="ＭＳ ゴシック" panose="020B0609070205080204" pitchFamily="49" charset="-128"/>
              <a:ea typeface="ＭＳ ゴシック" panose="020B0609070205080204" pitchFamily="49" charset="-128"/>
            </a:rPr>
            <a:t>」に１基とカウントして記入してください。</a:t>
          </a: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１機種ごと、設置場所ごとに</a:t>
          </a:r>
          <a:r>
            <a:rPr kumimoji="1" lang="en-US" altLang="ja-JP" sz="1100" b="1">
              <a:solidFill>
                <a:schemeClr val="tx1"/>
              </a:solidFill>
              <a:latin typeface="ＭＳ ゴシック" panose="020B0609070205080204" pitchFamily="49" charset="-128"/>
              <a:ea typeface="ＭＳ ゴシック" panose="020B0609070205080204" pitchFamily="49" charset="-128"/>
            </a:rPr>
            <a:t>1</a:t>
          </a:r>
          <a:r>
            <a:rPr kumimoji="1" lang="ja-JP" altLang="en-US" sz="1100" b="1">
              <a:solidFill>
                <a:schemeClr val="tx1"/>
              </a:solidFill>
              <a:latin typeface="ＭＳ ゴシック" panose="020B0609070205080204" pitchFamily="49" charset="-128"/>
              <a:ea typeface="ＭＳ ゴシック" panose="020B0609070205080204" pitchFamily="49" charset="-128"/>
            </a:rPr>
            <a:t>行使用してください。同機種で設置場所が異なる場合は、行を分けて記載してください。</a:t>
          </a: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見積書は原則として</a:t>
          </a:r>
          <a:r>
            <a:rPr kumimoji="1" lang="ja-JP" altLang="ja-JP" sz="1100" b="1">
              <a:solidFill>
                <a:srgbClr val="FF0000"/>
              </a:solidFill>
              <a:effectLst/>
              <a:latin typeface="ＭＳ ゴシック" panose="020B0609070205080204" pitchFamily="49" charset="-128"/>
              <a:ea typeface="ＭＳ ゴシック" panose="020B0609070205080204" pitchFamily="49" charset="-128"/>
              <a:cs typeface="+mn-cs"/>
            </a:rPr>
            <a:t>「法人税法上の減価償却単位毎」</a:t>
          </a:r>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に</a:t>
          </a:r>
          <a:r>
            <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rPr>
            <a:t>１通ずつ取得</a:t>
          </a:r>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することが望ましい（同一機種を複数導入する場合は見積書は１通で可）</a:t>
          </a:r>
        </a:p>
        <a:p>
          <a:pPr algn="l"/>
          <a:r>
            <a:rPr kumimoji="1" lang="en-US"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 見積書は、募集要項に例示した「推奨見積書」の条件を満たすように作成してもらってください。</a:t>
          </a:r>
        </a:p>
      </xdr:txBody>
    </xdr:sp>
    <xdr:clientData/>
  </xdr:twoCellAnchor>
  <xdr:twoCellAnchor>
    <xdr:from>
      <xdr:col>43</xdr:col>
      <xdr:colOff>182354</xdr:colOff>
      <xdr:row>11</xdr:row>
      <xdr:rowOff>303282</xdr:rowOff>
    </xdr:from>
    <xdr:to>
      <xdr:col>54</xdr:col>
      <xdr:colOff>427824</xdr:colOff>
      <xdr:row>24</xdr:row>
      <xdr:rowOff>200799</xdr:rowOff>
    </xdr:to>
    <xdr:sp macro="" textlink="">
      <xdr:nvSpPr>
        <xdr:cNvPr id="27" name="正方形/長方形 26">
          <a:extLst>
            <a:ext uri="{FF2B5EF4-FFF2-40B4-BE49-F238E27FC236}">
              <a16:creationId xmlns:a16="http://schemas.microsoft.com/office/drawing/2014/main" id="{EF7CB41E-C4F4-43F7-8104-2E5352E16F50}"/>
            </a:ext>
          </a:extLst>
        </xdr:cNvPr>
        <xdr:cNvSpPr/>
      </xdr:nvSpPr>
      <xdr:spPr>
        <a:xfrm>
          <a:off x="9472404" y="3922782"/>
          <a:ext cx="5928720" cy="2456567"/>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a:solidFill>
                <a:schemeClr val="tx1"/>
              </a:solidFill>
              <a:effectLst/>
              <a:latin typeface="ＭＳ ゴシック" panose="020B0609070205080204" pitchFamily="49" charset="-128"/>
              <a:ea typeface="ＭＳ ゴシック" panose="020B0609070205080204" pitchFamily="49" charset="-128"/>
            </a:rPr>
            <a:t>１．</a:t>
          </a:r>
          <a:r>
            <a:rPr lang="en-US" altLang="ja-JP" sz="1000">
              <a:solidFill>
                <a:schemeClr val="tx1"/>
              </a:solidFill>
              <a:effectLst/>
              <a:latin typeface="ＭＳ ゴシック" panose="020B0609070205080204" pitchFamily="49" charset="-128"/>
              <a:ea typeface="ＭＳ ゴシック" panose="020B0609070205080204" pitchFamily="49" charset="-128"/>
            </a:rPr>
            <a:t>Excel</a:t>
          </a:r>
          <a:r>
            <a:rPr lang="ja-JP" altLang="en-US" sz="1000">
              <a:solidFill>
                <a:schemeClr val="tx1"/>
              </a:solidFill>
              <a:effectLst/>
              <a:latin typeface="ＭＳ ゴシック" panose="020B0609070205080204" pitchFamily="49" charset="-128"/>
              <a:ea typeface="ＭＳ ゴシック" panose="020B0609070205080204" pitchFamily="49" charset="-128"/>
            </a:rPr>
            <a:t>の画面上方の［校閲］タブをクリック ⇒［シートの保護解除］をクリックすると保護が解除されます。</a:t>
          </a:r>
        </a:p>
        <a:p>
          <a:pPr algn="l"/>
          <a:r>
            <a:rPr lang="ja-JP" altLang="en-US" sz="1000">
              <a:solidFill>
                <a:schemeClr val="tx1"/>
              </a:solidFill>
              <a:effectLst/>
              <a:latin typeface="ＭＳ ゴシック" panose="020B0609070205080204" pitchFamily="49" charset="-128"/>
              <a:ea typeface="ＭＳ ゴシック" panose="020B0609070205080204" pitchFamily="49" charset="-128"/>
            </a:rPr>
            <a:t>２．表中の記入行（</a:t>
          </a:r>
          <a:r>
            <a:rPr lang="en-US" altLang="ja-JP" sz="1000">
              <a:solidFill>
                <a:schemeClr val="tx1"/>
              </a:solidFill>
              <a:effectLst/>
              <a:latin typeface="ＭＳ ゴシック" panose="020B0609070205080204" pitchFamily="49" charset="-128"/>
              <a:ea typeface="ＭＳ ゴシック" panose="020B0609070205080204" pitchFamily="49" charset="-128"/>
            </a:rPr>
            <a:t>No.1</a:t>
          </a:r>
          <a:r>
            <a:rPr lang="ja-JP" altLang="en-US" sz="1000">
              <a:solidFill>
                <a:schemeClr val="tx1"/>
              </a:solidFill>
              <a:effectLst/>
              <a:latin typeface="ＭＳ ゴシック" panose="020B0609070205080204" pitchFamily="49" charset="-128"/>
              <a:ea typeface="ＭＳ ゴシック" panose="020B0609070205080204" pitchFamily="49" charset="-128"/>
            </a:rPr>
            <a:t>～</a:t>
          </a:r>
          <a:r>
            <a:rPr lang="en-US" altLang="ja-JP" sz="1000">
              <a:solidFill>
                <a:schemeClr val="tx1"/>
              </a:solidFill>
              <a:effectLst/>
              <a:latin typeface="ＭＳ ゴシック" panose="020B0609070205080204" pitchFamily="49" charset="-128"/>
              <a:ea typeface="ＭＳ ゴシック" panose="020B0609070205080204" pitchFamily="49" charset="-128"/>
            </a:rPr>
            <a:t>No.7</a:t>
          </a:r>
          <a:r>
            <a:rPr lang="ja-JP" altLang="en-US" sz="1000">
              <a:solidFill>
                <a:schemeClr val="tx1"/>
              </a:solidFill>
              <a:effectLst/>
              <a:latin typeface="ＭＳ ゴシック" panose="020B0609070205080204" pitchFamily="49" charset="-128"/>
              <a:ea typeface="ＭＳ ゴシック" panose="020B0609070205080204" pitchFamily="49" charset="-128"/>
            </a:rPr>
            <a:t>）のうち任意の行全体をコピーし、</a:t>
          </a:r>
          <a:r>
            <a:rPr lang="en-US" altLang="ja-JP" sz="1000">
              <a:solidFill>
                <a:schemeClr val="tx1"/>
              </a:solidFill>
              <a:effectLst/>
              <a:latin typeface="ＭＳ ゴシック" panose="020B0609070205080204" pitchFamily="49" charset="-128"/>
              <a:ea typeface="ＭＳ ゴシック" panose="020B0609070205080204" pitchFamily="49" charset="-128"/>
            </a:rPr>
            <a:t>No.8</a:t>
          </a:r>
          <a:r>
            <a:rPr lang="ja-JP" altLang="en-US" sz="1000">
              <a:solidFill>
                <a:schemeClr val="tx1"/>
              </a:solidFill>
              <a:effectLst/>
              <a:latin typeface="ＭＳ ゴシック" panose="020B0609070205080204" pitchFamily="49" charset="-128"/>
              <a:ea typeface="ＭＳ ゴシック" panose="020B0609070205080204" pitchFamily="49" charset="-128"/>
            </a:rPr>
            <a:t>より前の行に挿入により追加してください。</a:t>
          </a:r>
          <a:r>
            <a:rPr lang="en-US" altLang="ja-JP" sz="1000">
              <a:solidFill>
                <a:schemeClr val="tx1"/>
              </a:solidFill>
              <a:effectLst/>
              <a:latin typeface="ＭＳ ゴシック" panose="020B0609070205080204" pitchFamily="49" charset="-128"/>
              <a:ea typeface="ＭＳ ゴシック" panose="020B0609070205080204" pitchFamily="49" charset="-128"/>
            </a:rPr>
            <a:t>No.8</a:t>
          </a:r>
          <a:r>
            <a:rPr lang="ja-JP" altLang="en-US" sz="1000">
              <a:solidFill>
                <a:schemeClr val="tx1"/>
              </a:solidFill>
              <a:effectLst/>
              <a:latin typeface="ＭＳ ゴシック" panose="020B0609070205080204" pitchFamily="49" charset="-128"/>
              <a:ea typeface="ＭＳ ゴシック" panose="020B0609070205080204" pitchFamily="49" charset="-128"/>
            </a:rPr>
            <a:t>の後ろに挿入すると合計を求めるための関数式が機能しなくなるので注意してください。行数を多数追加する場合には、コピー・挿入操作を繰り返してください。</a:t>
          </a:r>
        </a:p>
        <a:p>
          <a:pPr algn="l"/>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３</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．ＡＳ列～ＡＶ列には、関数式をサポートする表が形成されているので上記コピー操作する場合にはＡＳ列以降もコピー</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す</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よう注意ください。</a:t>
          </a:r>
          <a:endParaRPr lang="ja-JP" altLang="en-US" sz="1000">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４．コピー・挿入後に「数量」や「助成対象経費」の合計が正しく計算されているかチェックしてください。合計が正しく算出されない場合は申請書が正しく完成しません。</a:t>
          </a:r>
          <a:endParaRPr lang="ja-JP" altLang="en-US" sz="1000">
            <a:solidFill>
              <a:schemeClr val="tx1"/>
            </a:solidFill>
            <a:effectLst/>
            <a:latin typeface="ＭＳ ゴシック" panose="020B0609070205080204" pitchFamily="49" charset="-128"/>
            <a:ea typeface="ＭＳ ゴシック" panose="020B0609070205080204" pitchFamily="49" charset="-128"/>
          </a:endParaRPr>
        </a:p>
        <a:p>
          <a:pPr algn="l"/>
          <a:r>
            <a:rPr lang="ja-JP" altLang="en-US" sz="1000">
              <a:solidFill>
                <a:schemeClr val="tx1"/>
              </a:solidFill>
              <a:effectLst/>
              <a:latin typeface="ＭＳ ゴシック" panose="020B0609070205080204" pitchFamily="49" charset="-128"/>
              <a:ea typeface="ＭＳ ゴシック" panose="020B0609070205080204" pitchFamily="49" charset="-128"/>
            </a:rPr>
            <a:t>５．「（２）機械設備購入予定先・機械設備購入スケジュール」表にも同様に必要な行数をコピー・挿入ください。</a:t>
          </a:r>
        </a:p>
        <a:p>
          <a:pPr algn="l"/>
          <a:r>
            <a:rPr lang="ja-JP" altLang="en-US" sz="1000">
              <a:solidFill>
                <a:schemeClr val="tx1"/>
              </a:solidFill>
              <a:effectLst/>
              <a:latin typeface="ＭＳ ゴシック" panose="020B0609070205080204" pitchFamily="49" charset="-128"/>
              <a:ea typeface="ＭＳ ゴシック" panose="020B0609070205080204" pitchFamily="49" charset="-128"/>
            </a:rPr>
            <a:t>６．操作完了後には［校閲］タブの［シートの保護］をクリックしてそのまま［</a:t>
          </a:r>
          <a:r>
            <a:rPr lang="en-US" altLang="ja-JP" sz="1000">
              <a:solidFill>
                <a:schemeClr val="tx1"/>
              </a:solidFill>
              <a:effectLst/>
              <a:latin typeface="ＭＳ ゴシック" panose="020B0609070205080204" pitchFamily="49" charset="-128"/>
              <a:ea typeface="ＭＳ ゴシック" panose="020B0609070205080204" pitchFamily="49" charset="-128"/>
            </a:rPr>
            <a:t>ok</a:t>
          </a:r>
          <a:r>
            <a:rPr lang="ja-JP" altLang="en-US" sz="1000">
              <a:solidFill>
                <a:schemeClr val="tx1"/>
              </a:solidFill>
              <a:effectLst/>
              <a:latin typeface="ＭＳ ゴシック" panose="020B0609070205080204" pitchFamily="49" charset="-128"/>
              <a:ea typeface="ＭＳ ゴシック" panose="020B0609070205080204" pitchFamily="49" charset="-128"/>
            </a:rPr>
            <a:t>］ボタンをクリックしてシート保護の状態に戻してください。</a:t>
          </a:r>
        </a:p>
        <a:p>
          <a:pPr algn="l"/>
          <a:endParaRPr lang="ja-JP" altLang="ja-JP" sz="105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50800</xdr:colOff>
      <xdr:row>3</xdr:row>
      <xdr:rowOff>0</xdr:rowOff>
    </xdr:from>
    <xdr:to>
      <xdr:col>22</xdr:col>
      <xdr:colOff>165099</xdr:colOff>
      <xdr:row>4</xdr:row>
      <xdr:rowOff>12989</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6864350" y="476250"/>
          <a:ext cx="323849" cy="216189"/>
        </a:xfrm>
        <a:prstGeom prst="rightBrace">
          <a:avLst>
            <a:gd name="adj1" fmla="val 833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10</xdr:row>
      <xdr:rowOff>149225</xdr:rowOff>
    </xdr:from>
    <xdr:to>
      <xdr:col>22</xdr:col>
      <xdr:colOff>171449</xdr:colOff>
      <xdr:row>13</xdr:row>
      <xdr:rowOff>47914</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6870700" y="1800225"/>
          <a:ext cx="323849" cy="381289"/>
        </a:xfrm>
        <a:prstGeom prst="rightBrace">
          <a:avLst>
            <a:gd name="adj1" fmla="val 11521"/>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63500</xdr:colOff>
      <xdr:row>15</xdr:row>
      <xdr:rowOff>0</xdr:rowOff>
    </xdr:from>
    <xdr:to>
      <xdr:col>22</xdr:col>
      <xdr:colOff>177799</xdr:colOff>
      <xdr:row>24</xdr:row>
      <xdr:rowOff>0</xdr:rowOff>
    </xdr:to>
    <xdr:sp macro="" textlink="">
      <xdr:nvSpPr>
        <xdr:cNvPr id="6" name="右中かっこ 5">
          <a:extLst>
            <a:ext uri="{FF2B5EF4-FFF2-40B4-BE49-F238E27FC236}">
              <a16:creationId xmlns:a16="http://schemas.microsoft.com/office/drawing/2014/main" id="{00000000-0008-0000-0400-000006000000}"/>
            </a:ext>
          </a:extLst>
        </xdr:cNvPr>
        <xdr:cNvSpPr/>
      </xdr:nvSpPr>
      <xdr:spPr>
        <a:xfrm>
          <a:off x="6896100" y="2228850"/>
          <a:ext cx="323849" cy="1295400"/>
        </a:xfrm>
        <a:prstGeom prst="rightBrace">
          <a:avLst>
            <a:gd name="adj1" fmla="val 25980"/>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114300</xdr:colOff>
          <xdr:row>43</xdr:row>
          <xdr:rowOff>247650</xdr:rowOff>
        </xdr:from>
        <xdr:to>
          <xdr:col>3</xdr:col>
          <xdr:colOff>69850</xdr:colOff>
          <xdr:row>45</xdr:row>
          <xdr:rowOff>69850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44</xdr:row>
          <xdr:rowOff>146050</xdr:rowOff>
        </xdr:from>
        <xdr:to>
          <xdr:col>3</xdr:col>
          <xdr:colOff>69850</xdr:colOff>
          <xdr:row>46</xdr:row>
          <xdr:rowOff>31750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5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63500</xdr:colOff>
      <xdr:row>44</xdr:row>
      <xdr:rowOff>85726</xdr:rowOff>
    </xdr:from>
    <xdr:to>
      <xdr:col>22</xdr:col>
      <xdr:colOff>196849</xdr:colOff>
      <xdr:row>54</xdr:row>
      <xdr:rowOff>57150</xdr:rowOff>
    </xdr:to>
    <xdr:sp macro="" textlink="">
      <xdr:nvSpPr>
        <xdr:cNvPr id="10" name="右中かっこ 9">
          <a:extLst>
            <a:ext uri="{FF2B5EF4-FFF2-40B4-BE49-F238E27FC236}">
              <a16:creationId xmlns:a16="http://schemas.microsoft.com/office/drawing/2014/main" id="{00000000-0008-0000-0400-00000A000000}"/>
            </a:ext>
          </a:extLst>
        </xdr:cNvPr>
        <xdr:cNvSpPr/>
      </xdr:nvSpPr>
      <xdr:spPr>
        <a:xfrm>
          <a:off x="6896100" y="7794626"/>
          <a:ext cx="342899" cy="1819274"/>
        </a:xfrm>
        <a:prstGeom prst="rightBrace">
          <a:avLst>
            <a:gd name="adj1" fmla="val 25980"/>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413105</xdr:colOff>
      <xdr:row>43</xdr:row>
      <xdr:rowOff>63803</xdr:rowOff>
    </xdr:from>
    <xdr:to>
      <xdr:col>26</xdr:col>
      <xdr:colOff>241201</xdr:colOff>
      <xdr:row>56</xdr:row>
      <xdr:rowOff>54528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496883" y="8544581"/>
          <a:ext cx="3292374" cy="23896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「助成対象</a:t>
          </a:r>
          <a:r>
            <a:rPr kumimoji="1" lang="ja-JP" altLang="en-US" sz="1100" b="1">
              <a:solidFill>
                <a:srgbClr val="FF0000"/>
              </a:solidFill>
              <a:latin typeface="ＭＳ ゴシック" panose="020B0609070205080204" pitchFamily="49" charset="-128"/>
              <a:ea typeface="ＭＳ ゴシック" panose="020B0609070205080204" pitchFamily="49" charset="-128"/>
            </a:rPr>
            <a:t>外</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経費」</a:t>
          </a:r>
          <a:r>
            <a:rPr kumimoji="1"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の有無をチェックし、「有」の</a:t>
          </a:r>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場合</a:t>
          </a:r>
          <a:r>
            <a:rPr kumimoji="1" lang="ja-JP" altLang="en-US" sz="1100" b="1">
              <a:solidFill>
                <a:schemeClr val="tx1"/>
              </a:solidFill>
              <a:latin typeface="ＭＳ ゴシック" panose="020B0609070205080204" pitchFamily="49" charset="-128"/>
              <a:ea typeface="ＭＳ ゴシック" panose="020B0609070205080204" pitchFamily="49" charset="-128"/>
            </a:rPr>
            <a:t>には、左表へ具体的な内訳内容を記入ください。</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例１）</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既存機械設備の撤去・移設・処分に係る経費</a:t>
          </a:r>
          <a:endPar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　例２）</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設置場所の整備工事や基礎工事、電気工事等に係る経費</a:t>
          </a:r>
          <a:endPar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　例３）</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機械設置後に発生する費用（例：年間保守費用、バージョンアップ費用、定期的な技術指導等）</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95250</xdr:colOff>
      <xdr:row>2</xdr:row>
      <xdr:rowOff>137583</xdr:rowOff>
    </xdr:from>
    <xdr:to>
      <xdr:col>25</xdr:col>
      <xdr:colOff>128058</xdr:colOff>
      <xdr:row>5</xdr:row>
      <xdr:rowOff>19050</xdr:rowOff>
    </xdr:to>
    <xdr:sp macro="" textlink="">
      <xdr:nvSpPr>
        <xdr:cNvPr id="9" name="正方形/長方形 8">
          <a:extLst>
            <a:ext uri="{FF2B5EF4-FFF2-40B4-BE49-F238E27FC236}">
              <a16:creationId xmlns:a16="http://schemas.microsoft.com/office/drawing/2014/main" id="{00000000-0008-0000-0400-00000C000000}"/>
            </a:ext>
          </a:extLst>
        </xdr:cNvPr>
        <xdr:cNvSpPr/>
      </xdr:nvSpPr>
      <xdr:spPr>
        <a:xfrm>
          <a:off x="7122583" y="486833"/>
          <a:ext cx="2308225" cy="4953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申請者区分を確認してください</a:t>
          </a:r>
        </a:p>
      </xdr:txBody>
    </xdr:sp>
    <xdr:clientData/>
  </xdr:twoCellAnchor>
  <xdr:twoCellAnchor>
    <xdr:from>
      <xdr:col>22</xdr:col>
      <xdr:colOff>95250</xdr:colOff>
      <xdr:row>5</xdr:row>
      <xdr:rowOff>95250</xdr:rowOff>
    </xdr:from>
    <xdr:to>
      <xdr:col>25</xdr:col>
      <xdr:colOff>1147233</xdr:colOff>
      <xdr:row>18</xdr:row>
      <xdr:rowOff>20109</xdr:rowOff>
    </xdr:to>
    <xdr:sp macro="" textlink="">
      <xdr:nvSpPr>
        <xdr:cNvPr id="12" name="正方形/長方形 11">
          <a:extLst>
            <a:ext uri="{FF2B5EF4-FFF2-40B4-BE49-F238E27FC236}">
              <a16:creationId xmlns:a16="http://schemas.microsoft.com/office/drawing/2014/main" id="{00000000-0008-0000-0400-000008000000}"/>
            </a:ext>
          </a:extLst>
        </xdr:cNvPr>
        <xdr:cNvSpPr/>
      </xdr:nvSpPr>
      <xdr:spPr>
        <a:xfrm>
          <a:off x="7122583" y="1058333"/>
          <a:ext cx="3327400" cy="188277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導入する機械設備等が消費税率</a:t>
          </a:r>
          <a:r>
            <a:rPr kumimoji="1" lang="en-US" altLang="ja-JP" sz="1100" b="1">
              <a:solidFill>
                <a:schemeClr val="tx1"/>
              </a:solidFill>
              <a:latin typeface="ＭＳ ゴシック" panose="020B0609070205080204" pitchFamily="49" charset="-128"/>
              <a:ea typeface="ＭＳ ゴシック" panose="020B0609070205080204" pitchFamily="49" charset="-128"/>
            </a:rPr>
            <a:t>10%</a:t>
          </a:r>
          <a:r>
            <a:rPr kumimoji="1" lang="ja-JP" altLang="en-US" sz="1100" b="1">
              <a:solidFill>
                <a:schemeClr val="tx1"/>
              </a:solidFill>
              <a:latin typeface="ＭＳ ゴシック" panose="020B0609070205080204" pitchFamily="49" charset="-128"/>
              <a:ea typeface="ＭＳ ゴシック" panose="020B0609070205080204" pitchFamily="49" charset="-128"/>
            </a:rPr>
            <a:t>適用（通常の国内取引）の場合は［該当］を選択した状態してください。経費区分の助成事業に要する経費（税込）は自動計算されます。</a:t>
          </a: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海外からの直接輸入等で消費税率</a:t>
          </a:r>
          <a:r>
            <a:rPr kumimoji="1" lang="en-US" altLang="ja-JP" sz="1100" b="1">
              <a:solidFill>
                <a:schemeClr val="tx1"/>
              </a:solidFill>
              <a:latin typeface="ＭＳ ゴシック" panose="020B0609070205080204" pitchFamily="49" charset="-128"/>
              <a:ea typeface="ＭＳ ゴシック" panose="020B0609070205080204" pitchFamily="49" charset="-128"/>
            </a:rPr>
            <a:t>10%</a:t>
          </a:r>
          <a:r>
            <a:rPr kumimoji="1" lang="ja-JP" altLang="en-US" sz="1100" b="1">
              <a:solidFill>
                <a:schemeClr val="tx1"/>
              </a:solidFill>
              <a:latin typeface="ＭＳ ゴシック" panose="020B0609070205080204" pitchFamily="49" charset="-128"/>
              <a:ea typeface="ＭＳ ゴシック" panose="020B0609070205080204" pitchFamily="49" charset="-128"/>
            </a:rPr>
            <a:t>以外の税制が適用される場合には［非該当］を選択してください。</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ドロップダウンリスト ▼から選択</a:t>
          </a:r>
        </a:p>
      </xdr:txBody>
    </xdr:sp>
    <xdr:clientData/>
  </xdr:twoCellAnchor>
  <xdr:twoCellAnchor>
    <xdr:from>
      <xdr:col>22</xdr:col>
      <xdr:colOff>107950</xdr:colOff>
      <xdr:row>18</xdr:row>
      <xdr:rowOff>158749</xdr:rowOff>
    </xdr:from>
    <xdr:to>
      <xdr:col>25</xdr:col>
      <xdr:colOff>1134532</xdr:colOff>
      <xdr:row>27</xdr:row>
      <xdr:rowOff>335490</xdr:rowOff>
    </xdr:to>
    <xdr:sp macro="" textlink="">
      <xdr:nvSpPr>
        <xdr:cNvPr id="13" name="正方形/長方形 12">
          <a:extLst>
            <a:ext uri="{FF2B5EF4-FFF2-40B4-BE49-F238E27FC236}">
              <a16:creationId xmlns:a16="http://schemas.microsoft.com/office/drawing/2014/main" id="{00000000-0008-0000-0400-000009000000}"/>
            </a:ext>
          </a:extLst>
        </xdr:cNvPr>
        <xdr:cNvSpPr/>
      </xdr:nvSpPr>
      <xdr:spPr>
        <a:xfrm>
          <a:off x="7124700" y="3098799"/>
          <a:ext cx="3293532" cy="218334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「助成対象</a:t>
          </a:r>
          <a:r>
            <a:rPr kumimoji="1" lang="ja-JP" altLang="en-US" sz="1100" b="1">
              <a:solidFill>
                <a:srgbClr val="FF0000"/>
              </a:solidFill>
              <a:latin typeface="ＭＳ ゴシック" panose="020B0609070205080204" pitchFamily="49" charset="-128"/>
              <a:ea typeface="ＭＳ ゴシック" panose="020B0609070205080204" pitchFamily="49" charset="-128"/>
            </a:rPr>
            <a:t>外</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経費」</a:t>
          </a:r>
          <a:r>
            <a:rPr kumimoji="1"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の有無をチェックし、「有」の</a:t>
          </a:r>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場合</a:t>
          </a:r>
          <a:r>
            <a:rPr kumimoji="1" lang="ja-JP" altLang="en-US" sz="1100" b="1">
              <a:solidFill>
                <a:schemeClr val="tx1"/>
              </a:solidFill>
              <a:latin typeface="ＭＳ ゴシック" panose="020B0609070205080204" pitchFamily="49" charset="-128"/>
              <a:ea typeface="ＭＳ ゴシック" panose="020B0609070205080204" pitchFamily="49" charset="-128"/>
            </a:rPr>
            <a:t>には、左表へ具体的な内訳内容を記入ください。</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例１）</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既存機械設備の撤去・移設・処分に係る経費</a:t>
          </a:r>
          <a:endPar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　例２）</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設置場所の整備工事や基礎工事、電気工事等に係る経費</a:t>
          </a:r>
          <a:endPar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　例３）</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機械設置後に発生する費用（例：年間保守費用、バージョンアップ費用、定期的な技術指導等）</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66675</xdr:colOff>
      <xdr:row>9</xdr:row>
      <xdr:rowOff>38099</xdr:rowOff>
    </xdr:from>
    <xdr:to>
      <xdr:col>11</xdr:col>
      <xdr:colOff>390524</xdr:colOff>
      <xdr:row>18</xdr:row>
      <xdr:rowOff>228599</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6143625" y="2000249"/>
          <a:ext cx="323849" cy="2057400"/>
        </a:xfrm>
        <a:prstGeom prst="rightBrace">
          <a:avLst>
            <a:gd name="adj1" fmla="val 25980"/>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438150</xdr:colOff>
      <xdr:row>9</xdr:row>
      <xdr:rowOff>57146</xdr:rowOff>
    </xdr:from>
    <xdr:to>
      <xdr:col>18</xdr:col>
      <xdr:colOff>9525</xdr:colOff>
      <xdr:row>29</xdr:row>
      <xdr:rowOff>57149</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6515100" y="2019296"/>
          <a:ext cx="4371975" cy="419100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 </a:t>
          </a:r>
          <a:r>
            <a:rPr kumimoji="1" lang="ja-JP" altLang="en-US" sz="1100" b="1">
              <a:solidFill>
                <a:schemeClr val="tx1"/>
              </a:solidFill>
              <a:latin typeface="ＭＳ ゴシック" panose="020B0609070205080204" pitchFamily="49" charset="-128"/>
              <a:ea typeface="ＭＳ ゴシック" panose="020B0609070205080204" pitchFamily="49" charset="-128"/>
            </a:rPr>
            <a:t>この「</a:t>
          </a:r>
          <a:r>
            <a:rPr kumimoji="1" lang="en-US" altLang="ja-JP" sz="1100" b="1">
              <a:solidFill>
                <a:srgbClr val="0000FF"/>
              </a:solidFill>
              <a:latin typeface="ＭＳ ゴシック" panose="020B0609070205080204" pitchFamily="49" charset="-128"/>
              <a:ea typeface="ＭＳ ゴシック" panose="020B0609070205080204" pitchFamily="49" charset="-128"/>
            </a:rPr>
            <a:t>15</a:t>
          </a:r>
          <a:r>
            <a:rPr kumimoji="1" lang="ja-JP" altLang="en-US" sz="1100" b="1">
              <a:solidFill>
                <a:srgbClr val="0000FF"/>
              </a:solidFill>
              <a:latin typeface="ＭＳ ゴシック" panose="020B0609070205080204" pitchFamily="49" charset="-128"/>
              <a:ea typeface="ＭＳ ゴシック" panose="020B0609070205080204" pitchFamily="49" charset="-128"/>
            </a:rPr>
            <a:t>　収支計画</a:t>
          </a:r>
          <a:r>
            <a:rPr kumimoji="1" lang="ja-JP" altLang="en-US" sz="1100" b="1">
              <a:solidFill>
                <a:schemeClr val="tx1"/>
              </a:solidFill>
              <a:latin typeface="ＭＳ ゴシック" panose="020B0609070205080204" pitchFamily="49" charset="-128"/>
              <a:ea typeface="ＭＳ ゴシック" panose="020B0609070205080204" pitchFamily="49" charset="-128"/>
            </a:rPr>
            <a:t>」のページの記入欄はフリーフォーマットです。</a:t>
          </a:r>
        </a:p>
        <a:p>
          <a:pPr algn="l"/>
          <a:endParaRPr kumimoji="1" lang="ja-JP" altLang="en-US" sz="1100" b="1">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便宜的に記入欄は「セルの書式設定」により「セルを結合」してあります。プレーンテキストの文書は入力できますが、複雑な構成の文書、図、表を混在させたような説明文は入力が困難な場合がありますのでご了承ください。</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ＭＳ ゴシック" panose="020B0609070205080204" pitchFamily="49" charset="-128"/>
              <a:ea typeface="ＭＳ ゴシック" panose="020B0609070205080204" pitchFamily="49" charset="-128"/>
              <a:cs typeface="+mn-cs"/>
            </a:rPr>
            <a:t>　</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シートの保護やロックは掛けておりませんのでセル結合解除</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や記入欄の拡大</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等は自由</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です。</a:t>
          </a:r>
          <a:endParaRPr kumimoji="1" lang="ja-JP" altLang="en-US" sz="1100" b="1">
            <a:solidFill>
              <a:schemeClr val="lt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ＭＳ ゴシック" panose="020B0609070205080204" pitchFamily="49" charset="-128"/>
              <a:ea typeface="ＭＳ ゴシック" panose="020B0609070205080204" pitchFamily="49" charset="-128"/>
              <a:cs typeface="+mn-cs"/>
            </a:rPr>
            <a:t>す。</a:t>
          </a:r>
          <a:endParaRPr lang="ja-JP" altLang="ja-JP">
            <a:effectLst/>
            <a:latin typeface="ＭＳ ゴシック" panose="020B0609070205080204" pitchFamily="49" charset="-128"/>
            <a:ea typeface="ＭＳ ゴシック" panose="020B0609070205080204" pitchFamily="49" charset="-128"/>
          </a:endParaRP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記入勝手、入力勝手が悪い場合には、同様フォーマット・書式で</a:t>
          </a:r>
          <a:r>
            <a:rPr kumimoji="1" lang="en-US" altLang="ja-JP" sz="1100" b="1">
              <a:solidFill>
                <a:schemeClr val="tx1"/>
              </a:solidFill>
              <a:latin typeface="ＭＳ ゴシック" panose="020B0609070205080204" pitchFamily="49" charset="-128"/>
              <a:ea typeface="ＭＳ ゴシック" panose="020B0609070205080204" pitchFamily="49" charset="-128"/>
            </a:rPr>
            <a:t>Word</a:t>
          </a:r>
          <a:r>
            <a:rPr kumimoji="1" lang="ja-JP" altLang="en-US" sz="1100" b="1">
              <a:solidFill>
                <a:schemeClr val="tx1"/>
              </a:solidFill>
              <a:latin typeface="ＭＳ ゴシック" panose="020B0609070205080204" pitchFamily="49" charset="-128"/>
              <a:ea typeface="ＭＳ ゴシック" panose="020B0609070205080204" pitchFamily="49" charset="-128"/>
            </a:rPr>
            <a:t>や</a:t>
          </a:r>
          <a:r>
            <a:rPr kumimoji="1" lang="en-US" altLang="ja-JP" sz="1100" b="1">
              <a:solidFill>
                <a:schemeClr val="tx1"/>
              </a:solidFill>
              <a:latin typeface="ＭＳ ゴシック" panose="020B0609070205080204" pitchFamily="49" charset="-128"/>
              <a:ea typeface="ＭＳ ゴシック" panose="020B0609070205080204" pitchFamily="49" charset="-128"/>
            </a:rPr>
            <a:t>PowerPoint</a:t>
          </a:r>
          <a:r>
            <a:rPr kumimoji="1" lang="ja-JP" altLang="en-US" sz="1100" b="1">
              <a:solidFill>
                <a:schemeClr val="tx1"/>
              </a:solidFill>
              <a:latin typeface="ＭＳ ゴシック" panose="020B0609070205080204" pitchFamily="49" charset="-128"/>
              <a:ea typeface="ＭＳ ゴシック" panose="020B0609070205080204" pitchFamily="49" charset="-128"/>
            </a:rPr>
            <a:t>等で作成、提出していただくことも可です。　</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その場合には、記入内容は本フォーマットの通り</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a:t>
          </a:r>
          <a:r>
            <a:rPr kumimoji="1" lang="en-US" altLang="ja-JP" sz="1100" b="1">
              <a:solidFill>
                <a:srgbClr val="0000FF"/>
              </a:solidFill>
              <a:effectLst/>
              <a:latin typeface="ＭＳ ゴシック" panose="020B0609070205080204" pitchFamily="49" charset="-128"/>
              <a:ea typeface="ＭＳ ゴシック" panose="020B0609070205080204" pitchFamily="49" charset="-128"/>
              <a:cs typeface="+mn-cs"/>
            </a:rPr>
            <a:t>15</a:t>
          </a:r>
          <a:r>
            <a:rPr kumimoji="1" lang="ja-JP" altLang="ja-JP" sz="1100" b="1">
              <a:solidFill>
                <a:srgbClr val="0000FF"/>
              </a:solidFill>
              <a:effectLst/>
              <a:latin typeface="ＭＳ ゴシック" panose="020B0609070205080204" pitchFamily="49" charset="-128"/>
              <a:ea typeface="ＭＳ ゴシック" panose="020B0609070205080204" pitchFamily="49" charset="-128"/>
              <a:cs typeface="+mn-cs"/>
            </a:rPr>
            <a:t>　収支計画」</a:t>
          </a:r>
          <a:r>
            <a:rPr kumimoji="1" lang="ja-JP" altLang="en-US"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rgbClr val="0000FF"/>
              </a:solidFill>
              <a:latin typeface="ＭＳ ゴシック" panose="020B0609070205080204" pitchFamily="49" charset="-128"/>
              <a:ea typeface="ＭＳ ゴシック" panose="020B0609070205080204" pitchFamily="49" charset="-128"/>
            </a:rPr>
            <a:t>（</a:t>
          </a:r>
          <a:r>
            <a:rPr kumimoji="1" lang="en-US" altLang="ja-JP" sz="1100" b="1">
              <a:solidFill>
                <a:srgbClr val="0000FF"/>
              </a:solidFill>
              <a:latin typeface="ＭＳ ゴシック" panose="020B0609070205080204" pitchFamily="49" charset="-128"/>
              <a:ea typeface="ＭＳ ゴシック" panose="020B0609070205080204" pitchFamily="49" charset="-128"/>
            </a:rPr>
            <a:t>1</a:t>
          </a:r>
          <a:r>
            <a:rPr kumimoji="1" lang="ja-JP" altLang="en-US" sz="1100" b="1">
              <a:solidFill>
                <a:srgbClr val="0000FF"/>
              </a:solidFill>
              <a:latin typeface="ＭＳ ゴシック" panose="020B0609070205080204" pitchFamily="49" charset="-128"/>
              <a:ea typeface="ＭＳ ゴシック" panose="020B0609070205080204" pitchFamily="49" charset="-128"/>
            </a:rPr>
            <a:t>）収支計画の具体的な説明</a:t>
          </a:r>
          <a:r>
            <a:rPr kumimoji="1" lang="ja-JP" altLang="en-US" sz="1100" b="1">
              <a:solidFill>
                <a:schemeClr val="tx1"/>
              </a:solidFill>
              <a:latin typeface="ＭＳ ゴシック" panose="020B0609070205080204" pitchFamily="49" charset="-128"/>
              <a:ea typeface="ＭＳ ゴシック" panose="020B0609070205080204" pitchFamily="49" charset="-128"/>
            </a:rPr>
            <a:t>」の項目を設け、「</a:t>
          </a:r>
          <a:r>
            <a:rPr kumimoji="1" lang="ja-JP" altLang="en-US" sz="1100" b="1">
              <a:solidFill>
                <a:srgbClr val="0000FF"/>
              </a:solidFill>
              <a:latin typeface="ＭＳ ゴシック" panose="020B0609070205080204" pitchFamily="49" charset="-128"/>
              <a:ea typeface="ＭＳ ゴシック" panose="020B0609070205080204" pitchFamily="49" charset="-128"/>
            </a:rPr>
            <a:t>各数値の計算根拠</a:t>
          </a:r>
          <a:r>
            <a:rPr kumimoji="1" lang="ja-JP" altLang="en-US"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rgbClr val="0000FF"/>
              </a:solidFill>
              <a:latin typeface="ＭＳ ゴシック" panose="020B0609070205080204" pitchFamily="49" charset="-128"/>
              <a:ea typeface="ＭＳ ゴシック" panose="020B0609070205080204" pitchFamily="49" charset="-128"/>
            </a:rPr>
            <a:t>次善策」</a:t>
          </a:r>
          <a:r>
            <a:rPr kumimoji="1" lang="ja-JP" altLang="en-US" sz="1100" b="1">
              <a:solidFill>
                <a:schemeClr val="tx1"/>
              </a:solidFill>
              <a:latin typeface="ＭＳ ゴシック" panose="020B0609070205080204" pitchFamily="49" charset="-128"/>
              <a:ea typeface="ＭＳ ゴシック" panose="020B0609070205080204" pitchFamily="49" charset="-128"/>
            </a:rPr>
            <a:t>について記入欄を分けて作成・記入ください。</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a:t>
          </a:r>
          <a:r>
            <a:rPr kumimoji="1" lang="ja-JP" altLang="en-US" sz="1100" b="1">
              <a:solidFill>
                <a:srgbClr val="FF0000"/>
              </a:solidFill>
              <a:latin typeface="ＭＳ ゴシック" panose="020B0609070205080204" pitchFamily="49" charset="-128"/>
              <a:ea typeface="ＭＳ ゴシック" panose="020B0609070205080204" pitchFamily="49" charset="-128"/>
            </a:rPr>
            <a:t>別フォーマットで提出する際には書類順は変更しないようにご注意ください。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61384</xdr:colOff>
      <xdr:row>0</xdr:row>
      <xdr:rowOff>44450</xdr:rowOff>
    </xdr:from>
    <xdr:to>
      <xdr:col>21</xdr:col>
      <xdr:colOff>243417</xdr:colOff>
      <xdr:row>15</xdr:row>
      <xdr:rowOff>176742</xdr:rowOff>
    </xdr:to>
    <xdr:grpSp>
      <xdr:nvGrpSpPr>
        <xdr:cNvPr id="6" name="グループ化 5">
          <a:extLst>
            <a:ext uri="{FF2B5EF4-FFF2-40B4-BE49-F238E27FC236}">
              <a16:creationId xmlns:a16="http://schemas.microsoft.com/office/drawing/2014/main" id="{00000000-0008-0000-0700-000006000000}"/>
            </a:ext>
          </a:extLst>
        </xdr:cNvPr>
        <xdr:cNvGrpSpPr/>
      </xdr:nvGrpSpPr>
      <xdr:grpSpPr>
        <a:xfrm>
          <a:off x="10923059" y="47625"/>
          <a:ext cx="2052108" cy="3647017"/>
          <a:chOff x="10799234" y="101600"/>
          <a:chExt cx="2042583" cy="3669242"/>
        </a:xfrm>
      </xdr:grpSpPr>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0799234" y="101600"/>
            <a:ext cx="2042583" cy="366924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１．事業区分を確認ください</a:t>
            </a:r>
          </a:p>
          <a:p>
            <a:pPr algn="l"/>
            <a:r>
              <a:rPr kumimoji="1" lang="ja-JP" altLang="en-US" sz="1100" b="1">
                <a:solidFill>
                  <a:schemeClr val="tx1"/>
                </a:solidFill>
              </a:rPr>
              <a:t>２．</a:t>
            </a:r>
            <a:r>
              <a:rPr kumimoji="1" lang="en-US" altLang="ja-JP" sz="1100" b="1">
                <a:solidFill>
                  <a:schemeClr val="tx1"/>
                </a:solidFill>
              </a:rPr>
              <a:t>K3</a:t>
            </a:r>
            <a:r>
              <a:rPr kumimoji="1" lang="ja-JP" altLang="en-US" sz="1100" b="1">
                <a:solidFill>
                  <a:schemeClr val="tx1"/>
                </a:solidFill>
              </a:rPr>
              <a:t>セルの「</a:t>
            </a:r>
            <a:r>
              <a:rPr kumimoji="1" lang="en-US" altLang="ja-JP" sz="1100" b="1">
                <a:solidFill>
                  <a:srgbClr val="FF0000"/>
                </a:solidFill>
              </a:rPr>
              <a:t>×</a:t>
            </a:r>
            <a:r>
              <a:rPr kumimoji="1" lang="ja-JP" altLang="en-US" sz="1100" b="1">
                <a:solidFill>
                  <a:schemeClr val="tx1"/>
                </a:solidFill>
              </a:rPr>
              <a:t>」を削除</a:t>
            </a:r>
          </a:p>
          <a:p>
            <a:pPr algn="l"/>
            <a:r>
              <a:rPr kumimoji="1" lang="ja-JP" altLang="en-US" sz="1100" b="1">
                <a:solidFill>
                  <a:schemeClr val="tx1"/>
                </a:solidFill>
              </a:rPr>
              <a:t>　　して数値入力可能に</a:t>
            </a:r>
          </a:p>
          <a:p>
            <a:pPr algn="l"/>
            <a:r>
              <a:rPr kumimoji="1" lang="ja-JP" altLang="en-US" sz="1100" b="1">
                <a:solidFill>
                  <a:schemeClr val="tx1"/>
                </a:solidFill>
              </a:rPr>
              <a:t>　　ロック解除ください　</a:t>
            </a:r>
          </a:p>
          <a:p>
            <a:pPr algn="l"/>
            <a:r>
              <a:rPr kumimoji="1" lang="ja-JP" altLang="en-US" sz="1100" b="1">
                <a:solidFill>
                  <a:schemeClr val="tx1"/>
                </a:solidFill>
              </a:rPr>
              <a:t>３．単位「千円」「百万円」</a:t>
            </a:r>
          </a:p>
          <a:p>
            <a:pPr algn="l"/>
            <a:r>
              <a:rPr kumimoji="1" lang="ja-JP" altLang="en-US" sz="1100" b="1">
                <a:solidFill>
                  <a:schemeClr val="tx1"/>
                </a:solidFill>
              </a:rPr>
              <a:t>　　を選択ください</a:t>
            </a:r>
          </a:p>
          <a:p>
            <a:pPr algn="l"/>
            <a:r>
              <a:rPr kumimoji="1" lang="ja-JP" altLang="en-US" sz="1100" b="1">
                <a:solidFill>
                  <a:schemeClr val="tx1"/>
                </a:solidFill>
              </a:rPr>
              <a:t>４</a:t>
            </a:r>
            <a:r>
              <a:rPr kumimoji="1" lang="en-US" altLang="ja-JP" sz="1100" b="1">
                <a:solidFill>
                  <a:schemeClr val="tx1"/>
                </a:solidFill>
              </a:rPr>
              <a:t>.</a:t>
            </a:r>
            <a:r>
              <a:rPr kumimoji="1" lang="ja-JP" altLang="en-US" sz="1100" b="1">
                <a:solidFill>
                  <a:schemeClr val="tx1"/>
                </a:solidFill>
              </a:rPr>
              <a:t>　数値を入力して表を完成</a:t>
            </a:r>
          </a:p>
          <a:p>
            <a:pPr algn="l"/>
            <a:r>
              <a:rPr kumimoji="1" lang="ja-JP" altLang="en-US" sz="1100" b="1">
                <a:solidFill>
                  <a:schemeClr val="tx1"/>
                </a:solidFill>
              </a:rPr>
              <a:t>　　させてください</a:t>
            </a:r>
          </a:p>
          <a:p>
            <a:pPr algn="l"/>
            <a:r>
              <a:rPr kumimoji="1" lang="ja-JP" altLang="en-US" sz="1100" b="1">
                <a:solidFill>
                  <a:schemeClr val="tx1"/>
                </a:solidFill>
              </a:rPr>
              <a:t>５．黄色　　　のセルが入力</a:t>
            </a:r>
          </a:p>
          <a:p>
            <a:pPr algn="l"/>
            <a:r>
              <a:rPr kumimoji="1" lang="ja-JP" altLang="en-US" sz="1100" b="1">
                <a:solidFill>
                  <a:schemeClr val="tx1"/>
                </a:solidFill>
              </a:rPr>
              <a:t>　　箇所となります</a:t>
            </a:r>
            <a:endParaRPr kumimoji="1" lang="en-US" altLang="ja-JP" sz="1100" b="1">
              <a:solidFill>
                <a:schemeClr val="tx1"/>
              </a:solidFill>
            </a:endParaRPr>
          </a:p>
          <a:p>
            <a:pPr algn="l"/>
            <a:r>
              <a:rPr kumimoji="1" lang="ja-JP" altLang="en-US" sz="1100" b="1">
                <a:solidFill>
                  <a:schemeClr val="tx1"/>
                </a:solidFill>
              </a:rPr>
              <a:t>６．灰色　　　のセルは自動</a:t>
            </a:r>
          </a:p>
          <a:p>
            <a:pPr algn="l"/>
            <a:r>
              <a:rPr kumimoji="1" lang="ja-JP" altLang="en-US" sz="1100" b="1">
                <a:solidFill>
                  <a:schemeClr val="tx1"/>
                </a:solidFill>
              </a:rPr>
              <a:t>　　入力・転記箇所となり</a:t>
            </a:r>
          </a:p>
          <a:p>
            <a:pPr algn="l"/>
            <a:r>
              <a:rPr kumimoji="1" lang="ja-JP" altLang="en-US" sz="1100" b="1">
                <a:solidFill>
                  <a:schemeClr val="tx1"/>
                </a:solidFill>
              </a:rPr>
              <a:t>　　入力できません。</a:t>
            </a:r>
          </a:p>
          <a:p>
            <a:pPr algn="l"/>
            <a:r>
              <a:rPr kumimoji="1" lang="ja-JP" altLang="en-US" sz="1100" b="1">
                <a:solidFill>
                  <a:schemeClr val="tx1"/>
                </a:solidFill>
              </a:rPr>
              <a:t>　　</a:t>
            </a:r>
          </a:p>
          <a:p>
            <a:pPr algn="l"/>
            <a:endParaRPr kumimoji="1" lang="ja-JP" altLang="en-US" sz="1100" b="1">
              <a:solidFill>
                <a:schemeClr val="tx1"/>
              </a:solidFill>
            </a:endParaRPr>
          </a:p>
        </xdr:txBody>
      </xdr:sp>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1489267" y="2042584"/>
            <a:ext cx="345017" cy="201082"/>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　　</a:t>
            </a:r>
          </a:p>
          <a:p>
            <a:pPr algn="l"/>
            <a:endParaRPr kumimoji="1" lang="ja-JP" altLang="en-US" sz="1100" b="1">
              <a:solidFill>
                <a:schemeClr val="tx1"/>
              </a:solidFill>
            </a:endParaRPr>
          </a:p>
        </xdr:txBody>
      </xdr:sp>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11500909" y="2514601"/>
            <a:ext cx="345017" cy="147107"/>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　　</a:t>
            </a:r>
          </a:p>
          <a:p>
            <a:pPr algn="l"/>
            <a:endParaRPr kumimoji="1" lang="ja-JP" altLang="en-US" sz="1100" b="1">
              <a:solidFill>
                <a:schemeClr val="tx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111125</xdr:colOff>
      <xdr:row>1</xdr:row>
      <xdr:rowOff>2117</xdr:rowOff>
    </xdr:from>
    <xdr:to>
      <xdr:col>21</xdr:col>
      <xdr:colOff>93133</xdr:colOff>
      <xdr:row>17</xdr:row>
      <xdr:rowOff>161925</xdr:rowOff>
    </xdr:to>
    <xdr:grpSp>
      <xdr:nvGrpSpPr>
        <xdr:cNvPr id="7" name="グループ化 6">
          <a:extLst>
            <a:ext uri="{FF2B5EF4-FFF2-40B4-BE49-F238E27FC236}">
              <a16:creationId xmlns:a16="http://schemas.microsoft.com/office/drawing/2014/main" id="{00000000-0008-0000-0800-000007000000}"/>
            </a:ext>
          </a:extLst>
        </xdr:cNvPr>
        <xdr:cNvGrpSpPr/>
      </xdr:nvGrpSpPr>
      <xdr:grpSpPr>
        <a:xfrm>
          <a:off x="11522075" y="68792"/>
          <a:ext cx="2077508" cy="3652308"/>
          <a:chOff x="13281025" y="-455083"/>
          <a:chExt cx="2058458" cy="3626908"/>
        </a:xfrm>
      </xdr:grpSpPr>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3281025" y="-455083"/>
            <a:ext cx="2058458" cy="362690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１．事業区分を確認ください</a:t>
            </a:r>
          </a:p>
          <a:p>
            <a:pPr algn="l"/>
            <a:r>
              <a:rPr kumimoji="1" lang="ja-JP" altLang="en-US" sz="1100" b="1">
                <a:solidFill>
                  <a:schemeClr val="tx1"/>
                </a:solidFill>
              </a:rPr>
              <a:t>２．</a:t>
            </a:r>
            <a:r>
              <a:rPr kumimoji="1" lang="en-US" altLang="ja-JP" sz="1100" b="1">
                <a:solidFill>
                  <a:schemeClr val="tx1"/>
                </a:solidFill>
              </a:rPr>
              <a:t>K3</a:t>
            </a:r>
            <a:r>
              <a:rPr kumimoji="1" lang="ja-JP" altLang="en-US" sz="1100" b="1">
                <a:solidFill>
                  <a:schemeClr val="tx1"/>
                </a:solidFill>
              </a:rPr>
              <a:t>セルの「</a:t>
            </a:r>
            <a:r>
              <a:rPr kumimoji="1" lang="en-US" altLang="ja-JP" sz="1100" b="1">
                <a:solidFill>
                  <a:srgbClr val="FF0000"/>
                </a:solidFill>
              </a:rPr>
              <a:t>×</a:t>
            </a:r>
            <a:r>
              <a:rPr kumimoji="1" lang="ja-JP" altLang="en-US" sz="1100" b="1">
                <a:solidFill>
                  <a:schemeClr val="tx1"/>
                </a:solidFill>
              </a:rPr>
              <a:t>」を削除</a:t>
            </a:r>
          </a:p>
          <a:p>
            <a:pPr algn="l"/>
            <a:r>
              <a:rPr kumimoji="1" lang="ja-JP" altLang="en-US" sz="1100" b="1">
                <a:solidFill>
                  <a:schemeClr val="tx1"/>
                </a:solidFill>
              </a:rPr>
              <a:t>　　して数値入力可能に</a:t>
            </a:r>
          </a:p>
          <a:p>
            <a:pPr algn="l"/>
            <a:r>
              <a:rPr kumimoji="1" lang="ja-JP" altLang="en-US" sz="1100" b="1">
                <a:solidFill>
                  <a:schemeClr val="tx1"/>
                </a:solidFill>
              </a:rPr>
              <a:t>　　ロック解除ください　</a:t>
            </a:r>
          </a:p>
          <a:p>
            <a:pPr algn="l"/>
            <a:r>
              <a:rPr kumimoji="1" lang="ja-JP" altLang="en-US" sz="1100" b="1">
                <a:solidFill>
                  <a:schemeClr val="tx1"/>
                </a:solidFill>
              </a:rPr>
              <a:t>３．単位「千円」「百万円」</a:t>
            </a:r>
          </a:p>
          <a:p>
            <a:pPr algn="l"/>
            <a:r>
              <a:rPr kumimoji="1" lang="ja-JP" altLang="en-US" sz="1100" b="1">
                <a:solidFill>
                  <a:schemeClr val="tx1"/>
                </a:solidFill>
              </a:rPr>
              <a:t>　　を選択ください</a:t>
            </a:r>
          </a:p>
          <a:p>
            <a:pPr algn="l"/>
            <a:r>
              <a:rPr kumimoji="1" lang="ja-JP" altLang="en-US" sz="1100" b="1">
                <a:solidFill>
                  <a:schemeClr val="tx1"/>
                </a:solidFill>
              </a:rPr>
              <a:t>４</a:t>
            </a:r>
            <a:r>
              <a:rPr kumimoji="1" lang="en-US" altLang="ja-JP" sz="1100" b="1">
                <a:solidFill>
                  <a:schemeClr val="tx1"/>
                </a:solidFill>
              </a:rPr>
              <a:t>.</a:t>
            </a:r>
            <a:r>
              <a:rPr kumimoji="1" lang="ja-JP" altLang="en-US" sz="1100" b="1">
                <a:solidFill>
                  <a:schemeClr val="tx1"/>
                </a:solidFill>
              </a:rPr>
              <a:t>　数値を入力して表を完成</a:t>
            </a:r>
          </a:p>
          <a:p>
            <a:pPr algn="l"/>
            <a:r>
              <a:rPr kumimoji="1" lang="ja-JP" altLang="en-US" sz="1100" b="1">
                <a:solidFill>
                  <a:schemeClr val="tx1"/>
                </a:solidFill>
              </a:rPr>
              <a:t>　　させてください</a:t>
            </a:r>
          </a:p>
          <a:p>
            <a:pPr algn="l"/>
            <a:r>
              <a:rPr kumimoji="1" lang="ja-JP" altLang="en-US" sz="1100" b="1">
                <a:solidFill>
                  <a:schemeClr val="tx1"/>
                </a:solidFill>
              </a:rPr>
              <a:t>５．黄色　　　のセルが入力</a:t>
            </a:r>
          </a:p>
          <a:p>
            <a:pPr algn="l"/>
            <a:r>
              <a:rPr kumimoji="1" lang="ja-JP" altLang="en-US" sz="1100" b="1">
                <a:solidFill>
                  <a:schemeClr val="tx1"/>
                </a:solidFill>
              </a:rPr>
              <a:t>　　箇所となります</a:t>
            </a:r>
            <a:endParaRPr kumimoji="1" lang="en-US" altLang="ja-JP" sz="1100" b="1">
              <a:solidFill>
                <a:schemeClr val="tx1"/>
              </a:solidFill>
            </a:endParaRPr>
          </a:p>
          <a:p>
            <a:pPr algn="l"/>
            <a:r>
              <a:rPr kumimoji="1" lang="ja-JP" altLang="en-US" sz="1100" b="1">
                <a:solidFill>
                  <a:schemeClr val="tx1"/>
                </a:solidFill>
              </a:rPr>
              <a:t>６．灰色　　　のセルは自動</a:t>
            </a:r>
          </a:p>
          <a:p>
            <a:pPr algn="l"/>
            <a:r>
              <a:rPr kumimoji="1" lang="ja-JP" altLang="en-US" sz="1100" b="1">
                <a:solidFill>
                  <a:schemeClr val="tx1"/>
                </a:solidFill>
              </a:rPr>
              <a:t>　　入力・転記箇所となり</a:t>
            </a:r>
          </a:p>
          <a:p>
            <a:pPr algn="l"/>
            <a:r>
              <a:rPr kumimoji="1" lang="ja-JP" altLang="en-US" sz="1100" b="1">
                <a:solidFill>
                  <a:schemeClr val="tx1"/>
                </a:solidFill>
              </a:rPr>
              <a:t>　　入力できません。</a:t>
            </a:r>
          </a:p>
          <a:p>
            <a:pPr algn="l"/>
            <a:r>
              <a:rPr kumimoji="1" lang="ja-JP" altLang="en-US" sz="1100" b="1">
                <a:solidFill>
                  <a:schemeClr val="tx1"/>
                </a:solidFill>
              </a:rPr>
              <a:t>　　</a:t>
            </a:r>
          </a:p>
          <a:p>
            <a:pPr algn="l"/>
            <a:endParaRPr kumimoji="1" lang="ja-JP" altLang="en-US" sz="1100" b="1">
              <a:solidFill>
                <a:schemeClr val="tx1"/>
              </a:solidFill>
            </a:endParaRPr>
          </a:p>
        </xdr:txBody>
      </xdr:sp>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13966825" y="1463675"/>
            <a:ext cx="351366" cy="173565"/>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　　</a:t>
            </a:r>
          </a:p>
          <a:p>
            <a:pPr algn="l"/>
            <a:endParaRPr kumimoji="1" lang="ja-JP" altLang="en-US" sz="1100" b="1">
              <a:solidFill>
                <a:schemeClr val="tx1"/>
              </a:solidFill>
            </a:endParaRPr>
          </a:p>
        </xdr:txBody>
      </xdr:sp>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13970000" y="1936750"/>
            <a:ext cx="351366" cy="17356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　　</a:t>
            </a:r>
          </a:p>
          <a:p>
            <a:pPr algn="l"/>
            <a:endParaRPr kumimoji="1" lang="ja-JP" altLang="en-US" sz="1100" b="1">
              <a:solidFill>
                <a:schemeClr val="tx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31750</xdr:colOff>
          <xdr:row>31</xdr:row>
          <xdr:rowOff>0</xdr:rowOff>
        </xdr:from>
        <xdr:to>
          <xdr:col>9</xdr:col>
          <xdr:colOff>38100</xdr:colOff>
          <xdr:row>32</xdr:row>
          <xdr:rowOff>88900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A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31</xdr:row>
          <xdr:rowOff>0</xdr:rowOff>
        </xdr:from>
        <xdr:to>
          <xdr:col>28</xdr:col>
          <xdr:colOff>57150</xdr:colOff>
          <xdr:row>32</xdr:row>
          <xdr:rowOff>44450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A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0.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AB40"/>
  <sheetViews>
    <sheetView showGridLines="0" tabSelected="1" view="pageBreakPreview" zoomScaleNormal="100" zoomScaleSheetLayoutView="100" workbookViewId="0"/>
  </sheetViews>
  <sheetFormatPr defaultColWidth="9" defaultRowHeight="13"/>
  <cols>
    <col min="1" max="1" width="0.75" style="1" customWidth="1"/>
    <col min="2" max="26" width="3.08203125" style="1" customWidth="1"/>
    <col min="27" max="27" width="6.5" style="1" customWidth="1"/>
    <col min="28" max="29" width="0.75" style="1" customWidth="1"/>
    <col min="30" max="30" width="37.08203125" style="1" customWidth="1"/>
    <col min="31" max="31" width="9" style="1" customWidth="1"/>
    <col min="32" max="16384" width="9" style="1"/>
  </cols>
  <sheetData>
    <row r="1" spans="2:28" s="2" customFormat="1" ht="7.9" customHeight="1">
      <c r="AB1" s="2">
        <v>27</v>
      </c>
    </row>
    <row r="2" spans="2:28" ht="17.25" customHeight="1">
      <c r="J2" s="1" t="s">
        <v>0</v>
      </c>
    </row>
    <row r="3" spans="2:28" ht="9.4" customHeight="1"/>
    <row r="4" spans="2:28" ht="17.25" customHeight="1">
      <c r="C4" s="1" t="s">
        <v>8</v>
      </c>
    </row>
    <row r="5" spans="2:28" ht="5.65" customHeight="1"/>
    <row r="6" spans="2:28" ht="10.5" customHeight="1"/>
    <row r="7" spans="2:28" ht="18.75" customHeight="1">
      <c r="N7" s="670" t="s">
        <v>2</v>
      </c>
      <c r="O7" s="671"/>
      <c r="P7" s="671"/>
      <c r="Q7" s="672">
        <f>申請書!E78</f>
        <v>0</v>
      </c>
      <c r="R7" s="673"/>
      <c r="S7" s="673"/>
      <c r="T7" s="673"/>
      <c r="U7" s="673"/>
      <c r="V7" s="673"/>
      <c r="W7" s="673"/>
      <c r="X7" s="673"/>
      <c r="Y7" s="673"/>
      <c r="Z7" s="673"/>
    </row>
    <row r="8" spans="2:28" ht="15.75" customHeight="1">
      <c r="N8" s="671"/>
      <c r="O8" s="671"/>
      <c r="P8" s="671"/>
      <c r="Q8" s="673"/>
      <c r="R8" s="673"/>
      <c r="S8" s="673"/>
      <c r="T8" s="673"/>
      <c r="U8" s="673"/>
      <c r="V8" s="673"/>
      <c r="W8" s="673"/>
      <c r="X8" s="673"/>
      <c r="Y8" s="673"/>
      <c r="Z8" s="673"/>
    </row>
    <row r="9" spans="2:28" ht="18.75" customHeight="1">
      <c r="N9" s="1" t="s">
        <v>1</v>
      </c>
      <c r="Q9" s="674">
        <f>申請書!E79</f>
        <v>0</v>
      </c>
      <c r="R9" s="675"/>
      <c r="S9" s="675"/>
      <c r="T9" s="675"/>
      <c r="U9" s="675"/>
      <c r="V9" s="675"/>
      <c r="W9" s="675"/>
      <c r="X9" s="675"/>
      <c r="Y9" s="675"/>
      <c r="Z9" s="675"/>
      <c r="AA9" s="64"/>
    </row>
    <row r="10" spans="2:28" ht="11.65" customHeight="1"/>
    <row r="11" spans="2:28" ht="20.25" customHeight="1">
      <c r="B11" s="676" t="s">
        <v>1204</v>
      </c>
      <c r="C11" s="676"/>
      <c r="D11" s="676"/>
      <c r="E11" s="676"/>
      <c r="F11" s="676"/>
      <c r="G11" s="676"/>
      <c r="H11" s="676"/>
      <c r="I11" s="676"/>
      <c r="J11" s="676"/>
      <c r="K11" s="676"/>
      <c r="L11" s="676"/>
      <c r="M11" s="676"/>
      <c r="N11" s="676"/>
      <c r="O11" s="676"/>
      <c r="P11" s="676"/>
      <c r="Q11" s="676"/>
      <c r="R11" s="676"/>
      <c r="S11" s="676"/>
      <c r="T11" s="676"/>
      <c r="U11" s="676"/>
      <c r="V11" s="676"/>
      <c r="W11" s="676"/>
      <c r="X11" s="676"/>
      <c r="Y11" s="676"/>
      <c r="Z11" s="676"/>
      <c r="AA11" s="676"/>
    </row>
    <row r="12" spans="2:28" ht="20.25" customHeight="1">
      <c r="B12" s="676"/>
      <c r="C12" s="676"/>
      <c r="D12" s="676"/>
      <c r="E12" s="676"/>
      <c r="F12" s="676"/>
      <c r="G12" s="676"/>
      <c r="H12" s="676"/>
      <c r="I12" s="676"/>
      <c r="J12" s="676"/>
      <c r="K12" s="676"/>
      <c r="L12" s="676"/>
      <c r="M12" s="676"/>
      <c r="N12" s="676"/>
      <c r="O12" s="676"/>
      <c r="P12" s="676"/>
      <c r="Q12" s="676"/>
      <c r="R12" s="676"/>
      <c r="S12" s="676"/>
      <c r="T12" s="676"/>
      <c r="U12" s="676"/>
      <c r="V12" s="676"/>
      <c r="W12" s="676"/>
      <c r="X12" s="676"/>
      <c r="Y12" s="676"/>
      <c r="Z12" s="676"/>
      <c r="AA12" s="676"/>
    </row>
    <row r="13" spans="2:28" ht="27" customHeight="1">
      <c r="B13" s="676"/>
      <c r="C13" s="676"/>
      <c r="D13" s="676"/>
      <c r="E13" s="676"/>
      <c r="F13" s="676"/>
      <c r="G13" s="676"/>
      <c r="H13" s="676"/>
      <c r="I13" s="676"/>
      <c r="J13" s="676"/>
      <c r="K13" s="676"/>
      <c r="L13" s="676"/>
      <c r="M13" s="676"/>
      <c r="N13" s="676"/>
      <c r="O13" s="676"/>
      <c r="P13" s="676"/>
      <c r="Q13" s="676"/>
      <c r="R13" s="676"/>
      <c r="S13" s="676"/>
      <c r="T13" s="676"/>
      <c r="U13" s="676"/>
      <c r="V13" s="676"/>
      <c r="W13" s="676"/>
      <c r="X13" s="676"/>
      <c r="Y13" s="676"/>
      <c r="Z13" s="676"/>
      <c r="AA13" s="676"/>
    </row>
    <row r="14" spans="2:28" ht="3.4" customHeight="1"/>
    <row r="15" spans="2:28" ht="17.25" customHeight="1">
      <c r="N15" s="1" t="s">
        <v>3</v>
      </c>
    </row>
    <row r="16" spans="2:28" ht="9.4" customHeight="1"/>
    <row r="17" spans="2:27" ht="21" customHeight="1">
      <c r="B17" s="677" t="s">
        <v>1077</v>
      </c>
      <c r="C17" s="677"/>
      <c r="D17" s="677"/>
      <c r="E17" s="677"/>
      <c r="F17" s="677"/>
      <c r="G17" s="677"/>
      <c r="H17" s="677"/>
      <c r="I17" s="677"/>
      <c r="J17" s="677"/>
      <c r="K17" s="677"/>
      <c r="L17" s="677"/>
      <c r="M17" s="677"/>
      <c r="N17" s="677"/>
      <c r="O17" s="677"/>
      <c r="P17" s="677"/>
      <c r="Q17" s="677"/>
      <c r="R17" s="677"/>
      <c r="S17" s="677"/>
      <c r="T17" s="677"/>
      <c r="U17" s="677"/>
      <c r="V17" s="677"/>
      <c r="W17" s="677"/>
      <c r="X17" s="677"/>
      <c r="Y17" s="677"/>
      <c r="Z17" s="677"/>
      <c r="AA17" s="677"/>
    </row>
    <row r="18" spans="2:27" ht="21" customHeight="1">
      <c r="B18" s="677"/>
      <c r="C18" s="677"/>
      <c r="D18" s="677"/>
      <c r="E18" s="677"/>
      <c r="F18" s="677"/>
      <c r="G18" s="677"/>
      <c r="H18" s="677"/>
      <c r="I18" s="677"/>
      <c r="J18" s="677"/>
      <c r="K18" s="677"/>
      <c r="L18" s="677"/>
      <c r="M18" s="677"/>
      <c r="N18" s="677"/>
      <c r="O18" s="677"/>
      <c r="P18" s="677"/>
      <c r="Q18" s="677"/>
      <c r="R18" s="677"/>
      <c r="S18" s="677"/>
      <c r="T18" s="677"/>
      <c r="U18" s="677"/>
      <c r="V18" s="677"/>
      <c r="W18" s="677"/>
      <c r="X18" s="677"/>
      <c r="Y18" s="677"/>
      <c r="Z18" s="677"/>
      <c r="AA18" s="677"/>
    </row>
    <row r="19" spans="2:27" ht="21" customHeight="1">
      <c r="B19" s="677"/>
      <c r="C19" s="677"/>
      <c r="D19" s="677"/>
      <c r="E19" s="677"/>
      <c r="F19" s="677"/>
      <c r="G19" s="677"/>
      <c r="H19" s="677"/>
      <c r="I19" s="677"/>
      <c r="J19" s="677"/>
      <c r="K19" s="677"/>
      <c r="L19" s="677"/>
      <c r="M19" s="677"/>
      <c r="N19" s="677"/>
      <c r="O19" s="677"/>
      <c r="P19" s="677"/>
      <c r="Q19" s="677"/>
      <c r="R19" s="677"/>
      <c r="S19" s="677"/>
      <c r="T19" s="677"/>
      <c r="U19" s="677"/>
      <c r="V19" s="677"/>
      <c r="W19" s="677"/>
      <c r="X19" s="677"/>
      <c r="Y19" s="677"/>
      <c r="Z19" s="677"/>
      <c r="AA19" s="677"/>
    </row>
    <row r="20" spans="2:27" ht="21" customHeight="1">
      <c r="B20" s="677"/>
      <c r="C20" s="677"/>
      <c r="D20" s="677"/>
      <c r="E20" s="677"/>
      <c r="F20" s="677"/>
      <c r="G20" s="677"/>
      <c r="H20" s="677"/>
      <c r="I20" s="677"/>
      <c r="J20" s="677"/>
      <c r="K20" s="677"/>
      <c r="L20" s="677"/>
      <c r="M20" s="677"/>
      <c r="N20" s="677"/>
      <c r="O20" s="677"/>
      <c r="P20" s="677"/>
      <c r="Q20" s="677"/>
      <c r="R20" s="677"/>
      <c r="S20" s="677"/>
      <c r="T20" s="677"/>
      <c r="U20" s="677"/>
      <c r="V20" s="677"/>
      <c r="W20" s="677"/>
      <c r="X20" s="677"/>
      <c r="Y20" s="677"/>
      <c r="Z20" s="677"/>
      <c r="AA20" s="677"/>
    </row>
    <row r="21" spans="2:27" ht="21" customHeight="1">
      <c r="B21" s="677"/>
      <c r="C21" s="677"/>
      <c r="D21" s="677"/>
      <c r="E21" s="677"/>
      <c r="F21" s="677"/>
      <c r="G21" s="677"/>
      <c r="H21" s="677"/>
      <c r="I21" s="677"/>
      <c r="J21" s="677"/>
      <c r="K21" s="677"/>
      <c r="L21" s="677"/>
      <c r="M21" s="677"/>
      <c r="N21" s="677"/>
      <c r="O21" s="677"/>
      <c r="P21" s="677"/>
      <c r="Q21" s="677"/>
      <c r="R21" s="677"/>
      <c r="S21" s="677"/>
      <c r="T21" s="677"/>
      <c r="U21" s="677"/>
      <c r="V21" s="677"/>
      <c r="W21" s="677"/>
      <c r="X21" s="677"/>
      <c r="Y21" s="677"/>
      <c r="Z21" s="677"/>
      <c r="AA21" s="677"/>
    </row>
    <row r="22" spans="2:27" ht="21" customHeight="1">
      <c r="B22" s="677"/>
      <c r="C22" s="677"/>
      <c r="D22" s="677"/>
      <c r="E22" s="677"/>
      <c r="F22" s="677"/>
      <c r="G22" s="677"/>
      <c r="H22" s="677"/>
      <c r="I22" s="677"/>
      <c r="J22" s="677"/>
      <c r="K22" s="677"/>
      <c r="L22" s="677"/>
      <c r="M22" s="677"/>
      <c r="N22" s="677"/>
      <c r="O22" s="677"/>
      <c r="P22" s="677"/>
      <c r="Q22" s="677"/>
      <c r="R22" s="677"/>
      <c r="S22" s="677"/>
      <c r="T22" s="677"/>
      <c r="U22" s="677"/>
      <c r="V22" s="677"/>
      <c r="W22" s="677"/>
      <c r="X22" s="677"/>
      <c r="Y22" s="677"/>
      <c r="Z22" s="677"/>
      <c r="AA22" s="677"/>
    </row>
    <row r="23" spans="2:27" ht="21" customHeight="1">
      <c r="B23" s="677"/>
      <c r="C23" s="677"/>
      <c r="D23" s="677"/>
      <c r="E23" s="677"/>
      <c r="F23" s="677"/>
      <c r="G23" s="677"/>
      <c r="H23" s="677"/>
      <c r="I23" s="677"/>
      <c r="J23" s="677"/>
      <c r="K23" s="677"/>
      <c r="L23" s="677"/>
      <c r="M23" s="677"/>
      <c r="N23" s="677"/>
      <c r="O23" s="677"/>
      <c r="P23" s="677"/>
      <c r="Q23" s="677"/>
      <c r="R23" s="677"/>
      <c r="S23" s="677"/>
      <c r="T23" s="677"/>
      <c r="U23" s="677"/>
      <c r="V23" s="677"/>
      <c r="W23" s="677"/>
      <c r="X23" s="677"/>
      <c r="Y23" s="677"/>
      <c r="Z23" s="677"/>
      <c r="AA23" s="677"/>
    </row>
    <row r="24" spans="2:27" ht="21" customHeight="1">
      <c r="B24" s="677"/>
      <c r="C24" s="677"/>
      <c r="D24" s="677"/>
      <c r="E24" s="677"/>
      <c r="F24" s="677"/>
      <c r="G24" s="677"/>
      <c r="H24" s="677"/>
      <c r="I24" s="677"/>
      <c r="J24" s="677"/>
      <c r="K24" s="677"/>
      <c r="L24" s="677"/>
      <c r="M24" s="677"/>
      <c r="N24" s="677"/>
      <c r="O24" s="677"/>
      <c r="P24" s="677"/>
      <c r="Q24" s="677"/>
      <c r="R24" s="677"/>
      <c r="S24" s="677"/>
      <c r="T24" s="677"/>
      <c r="U24" s="677"/>
      <c r="V24" s="677"/>
      <c r="W24" s="677"/>
      <c r="X24" s="677"/>
      <c r="Y24" s="677"/>
      <c r="Z24" s="677"/>
      <c r="AA24" s="677"/>
    </row>
    <row r="25" spans="2:27" ht="21" customHeight="1">
      <c r="B25" s="677"/>
      <c r="C25" s="677"/>
      <c r="D25" s="677"/>
      <c r="E25" s="677"/>
      <c r="F25" s="677"/>
      <c r="G25" s="677"/>
      <c r="H25" s="677"/>
      <c r="I25" s="677"/>
      <c r="J25" s="677"/>
      <c r="K25" s="677"/>
      <c r="L25" s="677"/>
      <c r="M25" s="677"/>
      <c r="N25" s="677"/>
      <c r="O25" s="677"/>
      <c r="P25" s="677"/>
      <c r="Q25" s="677"/>
      <c r="R25" s="677"/>
      <c r="S25" s="677"/>
      <c r="T25" s="677"/>
      <c r="U25" s="677"/>
      <c r="V25" s="677"/>
      <c r="W25" s="677"/>
      <c r="X25" s="677"/>
      <c r="Y25" s="677"/>
      <c r="Z25" s="677"/>
      <c r="AA25" s="677"/>
    </row>
    <row r="26" spans="2:27" ht="21" customHeight="1">
      <c r="B26" s="677"/>
      <c r="C26" s="677"/>
      <c r="D26" s="677"/>
      <c r="E26" s="677"/>
      <c r="F26" s="677"/>
      <c r="G26" s="677"/>
      <c r="H26" s="677"/>
      <c r="I26" s="677"/>
      <c r="J26" s="677"/>
      <c r="K26" s="677"/>
      <c r="L26" s="677"/>
      <c r="M26" s="677"/>
      <c r="N26" s="677"/>
      <c r="O26" s="677"/>
      <c r="P26" s="677"/>
      <c r="Q26" s="677"/>
      <c r="R26" s="677"/>
      <c r="S26" s="677"/>
      <c r="T26" s="677"/>
      <c r="U26" s="677"/>
      <c r="V26" s="677"/>
      <c r="W26" s="677"/>
      <c r="X26" s="677"/>
      <c r="Y26" s="677"/>
      <c r="Z26" s="677"/>
      <c r="AA26" s="677"/>
    </row>
    <row r="27" spans="2:27" ht="21" customHeight="1">
      <c r="B27" s="677"/>
      <c r="C27" s="677"/>
      <c r="D27" s="677"/>
      <c r="E27" s="677"/>
      <c r="F27" s="677"/>
      <c r="G27" s="677"/>
      <c r="H27" s="677"/>
      <c r="I27" s="677"/>
      <c r="J27" s="677"/>
      <c r="K27" s="677"/>
      <c r="L27" s="677"/>
      <c r="M27" s="677"/>
      <c r="N27" s="677"/>
      <c r="O27" s="677"/>
      <c r="P27" s="677"/>
      <c r="Q27" s="677"/>
      <c r="R27" s="677"/>
      <c r="S27" s="677"/>
      <c r="T27" s="677"/>
      <c r="U27" s="677"/>
      <c r="V27" s="677"/>
      <c r="W27" s="677"/>
      <c r="X27" s="677"/>
      <c r="Y27" s="677"/>
      <c r="Z27" s="677"/>
      <c r="AA27" s="677"/>
    </row>
    <row r="28" spans="2:27" ht="21" customHeight="1">
      <c r="B28" s="677"/>
      <c r="C28" s="677"/>
      <c r="D28" s="677"/>
      <c r="E28" s="677"/>
      <c r="F28" s="677"/>
      <c r="G28" s="677"/>
      <c r="H28" s="677"/>
      <c r="I28" s="677"/>
      <c r="J28" s="677"/>
      <c r="K28" s="677"/>
      <c r="L28" s="677"/>
      <c r="M28" s="677"/>
      <c r="N28" s="677"/>
      <c r="O28" s="677"/>
      <c r="P28" s="677"/>
      <c r="Q28" s="677"/>
      <c r="R28" s="677"/>
      <c r="S28" s="677"/>
      <c r="T28" s="677"/>
      <c r="U28" s="677"/>
      <c r="V28" s="677"/>
      <c r="W28" s="677"/>
      <c r="X28" s="677"/>
      <c r="Y28" s="677"/>
      <c r="Z28" s="677"/>
      <c r="AA28" s="677"/>
    </row>
    <row r="29" spans="2:27" ht="21" customHeight="1">
      <c r="B29" s="677"/>
      <c r="C29" s="677"/>
      <c r="D29" s="677"/>
      <c r="E29" s="677"/>
      <c r="F29" s="677"/>
      <c r="G29" s="677"/>
      <c r="H29" s="677"/>
      <c r="I29" s="677"/>
      <c r="J29" s="677"/>
      <c r="K29" s="677"/>
      <c r="L29" s="677"/>
      <c r="M29" s="677"/>
      <c r="N29" s="677"/>
      <c r="O29" s="677"/>
      <c r="P29" s="677"/>
      <c r="Q29" s="677"/>
      <c r="R29" s="677"/>
      <c r="S29" s="677"/>
      <c r="T29" s="677"/>
      <c r="U29" s="677"/>
      <c r="V29" s="677"/>
      <c r="W29" s="677"/>
      <c r="X29" s="677"/>
      <c r="Y29" s="677"/>
      <c r="Z29" s="677"/>
      <c r="AA29" s="677"/>
    </row>
    <row r="30" spans="2:27" ht="28.15" customHeight="1">
      <c r="B30" s="677"/>
      <c r="C30" s="677"/>
      <c r="D30" s="677"/>
      <c r="E30" s="677"/>
      <c r="F30" s="677"/>
      <c r="G30" s="677"/>
      <c r="H30" s="677"/>
      <c r="I30" s="677"/>
      <c r="J30" s="677"/>
      <c r="K30" s="677"/>
      <c r="L30" s="677"/>
      <c r="M30" s="677"/>
      <c r="N30" s="677"/>
      <c r="O30" s="677"/>
      <c r="P30" s="677"/>
      <c r="Q30" s="677"/>
      <c r="R30" s="677"/>
      <c r="S30" s="677"/>
      <c r="T30" s="677"/>
      <c r="U30" s="677"/>
      <c r="V30" s="677"/>
      <c r="W30" s="677"/>
      <c r="X30" s="677"/>
      <c r="Y30" s="677"/>
      <c r="Z30" s="677"/>
      <c r="AA30" s="677"/>
    </row>
    <row r="31" spans="2:27" ht="28.15" customHeight="1">
      <c r="B31" s="677"/>
      <c r="C31" s="677"/>
      <c r="D31" s="677"/>
      <c r="E31" s="677"/>
      <c r="F31" s="677"/>
      <c r="G31" s="677"/>
      <c r="H31" s="677"/>
      <c r="I31" s="677"/>
      <c r="J31" s="677"/>
      <c r="K31" s="677"/>
      <c r="L31" s="677"/>
      <c r="M31" s="677"/>
      <c r="N31" s="677"/>
      <c r="O31" s="677"/>
      <c r="P31" s="677"/>
      <c r="Q31" s="677"/>
      <c r="R31" s="677"/>
      <c r="S31" s="677"/>
      <c r="T31" s="677"/>
      <c r="U31" s="677"/>
      <c r="V31" s="677"/>
      <c r="W31" s="677"/>
      <c r="X31" s="677"/>
      <c r="Y31" s="677"/>
      <c r="Z31" s="677"/>
      <c r="AA31" s="677"/>
    </row>
    <row r="32" spans="2:27" ht="28.15" customHeight="1">
      <c r="B32" s="677"/>
      <c r="C32" s="677"/>
      <c r="D32" s="677"/>
      <c r="E32" s="677"/>
      <c r="F32" s="677"/>
      <c r="G32" s="677"/>
      <c r="H32" s="677"/>
      <c r="I32" s="677"/>
      <c r="J32" s="677"/>
      <c r="K32" s="677"/>
      <c r="L32" s="677"/>
      <c r="M32" s="677"/>
      <c r="N32" s="677"/>
      <c r="O32" s="677"/>
      <c r="P32" s="677"/>
      <c r="Q32" s="677"/>
      <c r="R32" s="677"/>
      <c r="S32" s="677"/>
      <c r="T32" s="677"/>
      <c r="U32" s="677"/>
      <c r="V32" s="677"/>
      <c r="W32" s="677"/>
      <c r="X32" s="677"/>
      <c r="Y32" s="677"/>
      <c r="Z32" s="677"/>
      <c r="AA32" s="677"/>
    </row>
    <row r="33" spans="2:27" ht="28.15" customHeight="1">
      <c r="B33" s="677"/>
      <c r="C33" s="677"/>
      <c r="D33" s="677"/>
      <c r="E33" s="677"/>
      <c r="F33" s="677"/>
      <c r="G33" s="677"/>
      <c r="H33" s="677"/>
      <c r="I33" s="677"/>
      <c r="J33" s="677"/>
      <c r="K33" s="677"/>
      <c r="L33" s="677"/>
      <c r="M33" s="677"/>
      <c r="N33" s="677"/>
      <c r="O33" s="677"/>
      <c r="P33" s="677"/>
      <c r="Q33" s="677"/>
      <c r="R33" s="677"/>
      <c r="S33" s="677"/>
      <c r="T33" s="677"/>
      <c r="U33" s="677"/>
      <c r="V33" s="677"/>
      <c r="W33" s="677"/>
      <c r="X33" s="677"/>
      <c r="Y33" s="677"/>
      <c r="Z33" s="677"/>
      <c r="AA33" s="677"/>
    </row>
    <row r="34" spans="2:27" ht="28.15" customHeight="1">
      <c r="B34" s="677"/>
      <c r="C34" s="677"/>
      <c r="D34" s="677"/>
      <c r="E34" s="677"/>
      <c r="F34" s="677"/>
      <c r="G34" s="677"/>
      <c r="H34" s="677"/>
      <c r="I34" s="677"/>
      <c r="J34" s="677"/>
      <c r="K34" s="677"/>
      <c r="L34" s="677"/>
      <c r="M34" s="677"/>
      <c r="N34" s="677"/>
      <c r="O34" s="677"/>
      <c r="P34" s="677"/>
      <c r="Q34" s="677"/>
      <c r="R34" s="677"/>
      <c r="S34" s="677"/>
      <c r="T34" s="677"/>
      <c r="U34" s="677"/>
      <c r="V34" s="677"/>
      <c r="W34" s="677"/>
      <c r="X34" s="677"/>
      <c r="Y34" s="677"/>
      <c r="Z34" s="677"/>
      <c r="AA34" s="677"/>
    </row>
    <row r="35" spans="2:27" ht="29.65" customHeight="1">
      <c r="B35" s="677"/>
      <c r="C35" s="677"/>
      <c r="D35" s="677"/>
      <c r="E35" s="677"/>
      <c r="F35" s="677"/>
      <c r="G35" s="677"/>
      <c r="H35" s="677"/>
      <c r="I35" s="677"/>
      <c r="J35" s="677"/>
      <c r="K35" s="677"/>
      <c r="L35" s="677"/>
      <c r="M35" s="677"/>
      <c r="N35" s="677"/>
      <c r="O35" s="677"/>
      <c r="P35" s="677"/>
      <c r="Q35" s="677"/>
      <c r="R35" s="677"/>
      <c r="S35" s="677"/>
      <c r="T35" s="677"/>
      <c r="U35" s="677"/>
      <c r="V35" s="677"/>
      <c r="W35" s="677"/>
      <c r="X35" s="677"/>
      <c r="Y35" s="677"/>
      <c r="Z35" s="677"/>
      <c r="AA35" s="677"/>
    </row>
    <row r="36" spans="2:27" ht="28.15" customHeight="1">
      <c r="B36" s="677"/>
      <c r="C36" s="677"/>
      <c r="D36" s="677"/>
      <c r="E36" s="677"/>
      <c r="F36" s="677"/>
      <c r="G36" s="677"/>
      <c r="H36" s="677"/>
      <c r="I36" s="677"/>
      <c r="J36" s="677"/>
      <c r="K36" s="677"/>
      <c r="L36" s="677"/>
      <c r="M36" s="677"/>
      <c r="N36" s="677"/>
      <c r="O36" s="677"/>
      <c r="P36" s="677"/>
      <c r="Q36" s="677"/>
      <c r="R36" s="677"/>
      <c r="S36" s="677"/>
      <c r="T36" s="677"/>
      <c r="U36" s="677"/>
      <c r="V36" s="677"/>
      <c r="W36" s="677"/>
      <c r="X36" s="677"/>
      <c r="Y36" s="677"/>
      <c r="Z36" s="677"/>
      <c r="AA36" s="677"/>
    </row>
    <row r="37" spans="2:27" ht="40.5" customHeight="1">
      <c r="B37" s="677"/>
      <c r="C37" s="677"/>
      <c r="D37" s="677"/>
      <c r="E37" s="677"/>
      <c r="F37" s="677"/>
      <c r="G37" s="677"/>
      <c r="H37" s="677"/>
      <c r="I37" s="677"/>
      <c r="J37" s="677"/>
      <c r="K37" s="677"/>
      <c r="L37" s="677"/>
      <c r="M37" s="677"/>
      <c r="N37" s="677"/>
      <c r="O37" s="677"/>
      <c r="P37" s="677"/>
      <c r="Q37" s="677"/>
      <c r="R37" s="677"/>
      <c r="S37" s="677"/>
      <c r="T37" s="677"/>
      <c r="U37" s="677"/>
      <c r="V37" s="677"/>
      <c r="W37" s="677"/>
      <c r="X37" s="677"/>
      <c r="Y37" s="677"/>
      <c r="Z37" s="677"/>
      <c r="AA37" s="677"/>
    </row>
    <row r="38" spans="2:27" ht="99.65" customHeight="1">
      <c r="B38" s="677"/>
      <c r="C38" s="677"/>
      <c r="D38" s="677"/>
      <c r="E38" s="677"/>
      <c r="F38" s="677"/>
      <c r="G38" s="677"/>
      <c r="H38" s="677"/>
      <c r="I38" s="677"/>
      <c r="J38" s="677"/>
      <c r="K38" s="677"/>
      <c r="L38" s="677"/>
      <c r="M38" s="677"/>
      <c r="N38" s="677"/>
      <c r="O38" s="677"/>
      <c r="P38" s="677"/>
      <c r="Q38" s="677"/>
      <c r="R38" s="677"/>
      <c r="S38" s="677"/>
      <c r="T38" s="677"/>
      <c r="U38" s="677"/>
      <c r="V38" s="677"/>
      <c r="W38" s="677"/>
      <c r="X38" s="677"/>
      <c r="Y38" s="677"/>
      <c r="Z38" s="677"/>
      <c r="AA38" s="677"/>
    </row>
    <row r="39" spans="2:27" ht="20.65" hidden="1" customHeight="1">
      <c r="B39" s="1" t="s">
        <v>991</v>
      </c>
    </row>
    <row r="40" spans="2:27" ht="22.15" hidden="1" customHeight="1"/>
  </sheetData>
  <sheetProtection algorithmName="SHA-512" hashValue="RF6gfia/+JRqcqGbQ+rtUdqBtwUMMeEqWyD2CqCQzJy9dXpEDibi1YtcSyS9Rk6psTSCzKxxp9ecGlAspXp7gw==" saltValue="vkYfxN3epXUFYLsXsPCq4g==" spinCount="100000" sheet="1" selectLockedCells="1"/>
  <mergeCells count="5">
    <mergeCell ref="N7:P8"/>
    <mergeCell ref="Q7:Z8"/>
    <mergeCell ref="Q9:Z9"/>
    <mergeCell ref="B11:AA13"/>
    <mergeCell ref="B17:AA38"/>
  </mergeCells>
  <phoneticPr fontId="1"/>
  <conditionalFormatting sqref="Q7:Z8">
    <cfRule type="expression" dxfId="566" priority="4">
      <formula>$Q$7=""</formula>
    </cfRule>
  </conditionalFormatting>
  <conditionalFormatting sqref="Q9:Z9">
    <cfRule type="expression" dxfId="565" priority="1">
      <formula>$Q$9=""</formula>
    </cfRule>
  </conditionalFormatting>
  <dataValidations count="1">
    <dataValidation allowBlank="1" showInputMessage="1" showErrorMessage="1" promptTitle="入力不要" prompt="「申請書」sheetから転記（自動反映）されます" sqref="Q7:Z9" xr:uid="{00000000-0002-0000-0000-000000000000}"/>
  </dataValidations>
  <pageMargins left="0.9055118110236221" right="0.39370078740157483" top="0.51181102362204722" bottom="0.35433070866141736" header="0.11811023622047245" footer="0.11811023622047245"/>
  <pageSetup paperSize="9" scale="9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3" id="{F938FFE9-BF76-4F70-9919-DAFDB009ECF1}">
            <xm:f>申請書!E78=""</xm:f>
            <x14:dxf>
              <fill>
                <patternFill>
                  <bgColor theme="0" tint="-0.14996795556505021"/>
                </patternFill>
              </fill>
            </x14:dxf>
          </x14:cfRule>
          <xm:sqref>Q7:Z8</xm:sqref>
        </x14:conditionalFormatting>
        <x14:conditionalFormatting xmlns:xm="http://schemas.microsoft.com/office/excel/2006/main">
          <x14:cfRule type="expression" priority="2" id="{F93B7110-D0DD-4B03-89C9-F9B8E6F7E4E5}">
            <xm:f>申請書!E79=""</xm:f>
            <x14:dxf>
              <fill>
                <patternFill>
                  <bgColor theme="0" tint="-0.14996795556505021"/>
                </patternFill>
              </fill>
            </x14:dxf>
          </x14:cfRule>
          <xm:sqref>Q9:Z9</xm:sqref>
        </x14:conditionalFormatting>
      </x14:conditionalFormatting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1:H116"/>
  <sheetViews>
    <sheetView workbookViewId="0"/>
  </sheetViews>
  <sheetFormatPr defaultRowHeight="18"/>
  <cols>
    <col min="1" max="1" width="4.58203125" customWidth="1"/>
    <col min="2" max="2" width="32.58203125" style="641" customWidth="1"/>
    <col min="3" max="3" width="8.58203125" style="643" customWidth="1"/>
    <col min="4" max="4" width="32.58203125" customWidth="1"/>
    <col min="5" max="8" width="12.58203125" customWidth="1"/>
  </cols>
  <sheetData>
    <row r="1" spans="2:8" s="641" customFormat="1">
      <c r="C1" s="643"/>
    </row>
    <row r="2" spans="2:8" s="641" customFormat="1">
      <c r="B2" s="641" t="str">
        <f>IF(申請書!$I$62="","要業種コード入力",
IF(AND(申請書!$I$62=39,$E$3&gt;$E$2,$F$3&lt;=300,$F$3&gt;$F$2),"要確認-情報サービス業",
IF(AND(申請書!$I$62=75,$E$3&gt;$E$2,$F$3&lt;=200,$F$3&gt;$F$2),"要確認-宿泊業",
IF(OR($E$3&lt;=$E$2,$F$3&lt;=$F$2),IF($F$3&lt;=$H$2,"小規模企業者","中小企業"),"大企業"))))</f>
        <v>要業種コード入力</v>
      </c>
      <c r="C2" s="643"/>
      <c r="E2" s="641" t="str">
        <f>IFERROR(VLOOKUP(申請書!$I$62,$C6:$H116,3,FALSE),"-")</f>
        <v>-</v>
      </c>
      <c r="F2" s="641" t="str">
        <f>IFERROR(VLOOKUP(申請書!$I$62,$C6:$H116,4,FALSE),"-")</f>
        <v>-</v>
      </c>
      <c r="G2" s="642" t="s">
        <v>1112</v>
      </c>
      <c r="H2" s="641" t="str">
        <f>IFERROR(VLOOKUP(申請書!$I$62,$C6:$H116,6,FALSE),"-")</f>
        <v>-</v>
      </c>
    </row>
    <row r="3" spans="2:8" s="641" customFormat="1">
      <c r="B3" s="641" t="str">
        <f>IFERROR(VLOOKUP(I59,K193:L303,2,FALSE),"")</f>
        <v/>
      </c>
      <c r="C3" s="643"/>
      <c r="E3" s="641">
        <f>申請書!$E$87</f>
        <v>0</v>
      </c>
      <c r="F3" s="641" t="str">
        <f>申請書!$E$94</f>
        <v>未入力</v>
      </c>
    </row>
    <row r="5" spans="2:8">
      <c r="B5" s="641" t="s">
        <v>1123</v>
      </c>
      <c r="C5" s="643" t="s">
        <v>1193</v>
      </c>
      <c r="D5" t="s">
        <v>1194</v>
      </c>
      <c r="E5" t="s">
        <v>1195</v>
      </c>
      <c r="F5" t="s">
        <v>1197</v>
      </c>
      <c r="G5" t="s">
        <v>1198</v>
      </c>
      <c r="H5" s="641" t="s">
        <v>1199</v>
      </c>
    </row>
    <row r="6" spans="2:8">
      <c r="B6" s="641" t="s">
        <v>981</v>
      </c>
      <c r="C6" s="643" t="s">
        <v>270</v>
      </c>
      <c r="D6" t="s">
        <v>271</v>
      </c>
      <c r="E6">
        <v>300000</v>
      </c>
      <c r="F6">
        <v>300</v>
      </c>
      <c r="G6" s="642" t="s">
        <v>1112</v>
      </c>
      <c r="H6">
        <v>20</v>
      </c>
    </row>
    <row r="7" spans="2:8">
      <c r="B7" s="641" t="s">
        <v>981</v>
      </c>
      <c r="C7" s="643" t="s">
        <v>272</v>
      </c>
      <c r="D7" t="s">
        <v>273</v>
      </c>
      <c r="E7" s="641">
        <v>300000</v>
      </c>
      <c r="F7" s="641">
        <v>300</v>
      </c>
      <c r="G7" s="642" t="s">
        <v>1112</v>
      </c>
      <c r="H7" s="641">
        <v>20</v>
      </c>
    </row>
    <row r="8" spans="2:8">
      <c r="B8" s="641" t="s">
        <v>259</v>
      </c>
      <c r="C8" s="643" t="s">
        <v>1183</v>
      </c>
      <c r="D8" t="s">
        <v>274</v>
      </c>
      <c r="E8" s="641">
        <v>300000</v>
      </c>
      <c r="F8" s="641">
        <v>300</v>
      </c>
      <c r="G8" s="642" t="s">
        <v>1112</v>
      </c>
      <c r="H8" s="641">
        <v>20</v>
      </c>
    </row>
    <row r="9" spans="2:8">
      <c r="B9" s="641" t="s">
        <v>259</v>
      </c>
      <c r="C9" s="643" t="s">
        <v>275</v>
      </c>
      <c r="D9" t="s">
        <v>276</v>
      </c>
      <c r="E9" s="641">
        <v>300000</v>
      </c>
      <c r="F9" s="641">
        <v>300</v>
      </c>
      <c r="G9" s="642" t="s">
        <v>1112</v>
      </c>
      <c r="H9" s="641">
        <v>20</v>
      </c>
    </row>
    <row r="10" spans="2:8">
      <c r="B10" s="641" t="s">
        <v>982</v>
      </c>
      <c r="C10" s="643" t="s">
        <v>277</v>
      </c>
      <c r="D10" t="s">
        <v>1184</v>
      </c>
      <c r="E10" s="641">
        <v>300000</v>
      </c>
      <c r="F10" s="641">
        <v>300</v>
      </c>
      <c r="G10" s="642" t="s">
        <v>1112</v>
      </c>
      <c r="H10" s="641">
        <v>20</v>
      </c>
    </row>
    <row r="11" spans="2:8">
      <c r="B11" s="641" t="s">
        <v>260</v>
      </c>
      <c r="C11" s="643" t="s">
        <v>278</v>
      </c>
      <c r="D11" t="s">
        <v>279</v>
      </c>
      <c r="E11" s="641">
        <v>300000</v>
      </c>
      <c r="F11" s="641">
        <v>300</v>
      </c>
      <c r="G11" s="642" t="s">
        <v>1112</v>
      </c>
      <c r="H11" s="641">
        <v>20</v>
      </c>
    </row>
    <row r="12" spans="2:8">
      <c r="B12" s="641" t="s">
        <v>260</v>
      </c>
      <c r="C12" s="643" t="s">
        <v>280</v>
      </c>
      <c r="D12" t="s">
        <v>1185</v>
      </c>
      <c r="E12" s="641">
        <v>300000</v>
      </c>
      <c r="F12" s="641">
        <v>300</v>
      </c>
      <c r="G12" s="642" t="s">
        <v>1112</v>
      </c>
      <c r="H12" s="641">
        <v>20</v>
      </c>
    </row>
    <row r="13" spans="2:8">
      <c r="B13" s="641" t="s">
        <v>260</v>
      </c>
      <c r="C13" s="643" t="s">
        <v>281</v>
      </c>
      <c r="D13" t="s">
        <v>282</v>
      </c>
      <c r="E13" s="641">
        <v>300000</v>
      </c>
      <c r="F13" s="641">
        <v>300</v>
      </c>
      <c r="G13" s="642" t="s">
        <v>1112</v>
      </c>
      <c r="H13" s="641">
        <v>20</v>
      </c>
    </row>
    <row r="14" spans="2:8">
      <c r="B14" s="641" t="s">
        <v>261</v>
      </c>
      <c r="C14" s="643" t="s">
        <v>283</v>
      </c>
      <c r="D14" t="s">
        <v>284</v>
      </c>
      <c r="E14" s="641">
        <v>300000</v>
      </c>
      <c r="F14" s="641">
        <v>300</v>
      </c>
      <c r="G14" s="642" t="s">
        <v>1112</v>
      </c>
      <c r="H14" s="641">
        <v>20</v>
      </c>
    </row>
    <row r="15" spans="2:8">
      <c r="B15" s="641" t="s">
        <v>261</v>
      </c>
      <c r="C15" s="643">
        <v>10</v>
      </c>
      <c r="D15" t="s">
        <v>285</v>
      </c>
      <c r="E15" s="641">
        <v>300000</v>
      </c>
      <c r="F15" s="641">
        <v>300</v>
      </c>
      <c r="G15" s="642" t="s">
        <v>1112</v>
      </c>
      <c r="H15" s="641">
        <v>20</v>
      </c>
    </row>
    <row r="16" spans="2:8">
      <c r="B16" s="641" t="s">
        <v>261</v>
      </c>
      <c r="C16" s="643">
        <v>11</v>
      </c>
      <c r="D16" t="s">
        <v>286</v>
      </c>
      <c r="E16" s="641">
        <v>300000</v>
      </c>
      <c r="F16" s="641">
        <v>300</v>
      </c>
      <c r="G16" s="642" t="s">
        <v>1112</v>
      </c>
      <c r="H16" s="641">
        <v>20</v>
      </c>
    </row>
    <row r="17" spans="2:8">
      <c r="B17" s="641" t="s">
        <v>261</v>
      </c>
      <c r="C17" s="643">
        <v>12</v>
      </c>
      <c r="D17" t="s">
        <v>287</v>
      </c>
      <c r="E17" s="641">
        <v>300000</v>
      </c>
      <c r="F17" s="641">
        <v>300</v>
      </c>
      <c r="G17" s="642" t="s">
        <v>1112</v>
      </c>
      <c r="H17" s="641">
        <v>20</v>
      </c>
    </row>
    <row r="18" spans="2:8">
      <c r="B18" s="641" t="s">
        <v>261</v>
      </c>
      <c r="C18" s="643">
        <v>13</v>
      </c>
      <c r="D18" t="s">
        <v>288</v>
      </c>
      <c r="E18" s="641">
        <v>300000</v>
      </c>
      <c r="F18" s="641">
        <v>300</v>
      </c>
      <c r="G18" s="642" t="s">
        <v>1112</v>
      </c>
      <c r="H18" s="641">
        <v>20</v>
      </c>
    </row>
    <row r="19" spans="2:8">
      <c r="B19" s="641" t="s">
        <v>261</v>
      </c>
      <c r="C19" s="643">
        <v>14</v>
      </c>
      <c r="D19" t="s">
        <v>289</v>
      </c>
      <c r="E19" s="641">
        <v>300000</v>
      </c>
      <c r="F19" s="641">
        <v>300</v>
      </c>
      <c r="G19" s="642" t="s">
        <v>1112</v>
      </c>
      <c r="H19" s="641">
        <v>20</v>
      </c>
    </row>
    <row r="20" spans="2:8">
      <c r="B20" s="641" t="s">
        <v>261</v>
      </c>
      <c r="C20" s="643">
        <v>15</v>
      </c>
      <c r="D20" t="s">
        <v>290</v>
      </c>
      <c r="E20" s="641">
        <v>300000</v>
      </c>
      <c r="F20" s="641">
        <v>300</v>
      </c>
      <c r="G20" s="642" t="s">
        <v>1112</v>
      </c>
      <c r="H20" s="641">
        <v>20</v>
      </c>
    </row>
    <row r="21" spans="2:8">
      <c r="B21" s="641" t="s">
        <v>261</v>
      </c>
      <c r="C21" s="643">
        <v>16</v>
      </c>
      <c r="D21" t="s">
        <v>291</v>
      </c>
      <c r="E21" s="641">
        <v>300000</v>
      </c>
      <c r="F21" s="641">
        <v>300</v>
      </c>
      <c r="G21" s="642" t="s">
        <v>1112</v>
      </c>
      <c r="H21" s="641">
        <v>20</v>
      </c>
    </row>
    <row r="22" spans="2:8">
      <c r="B22" s="641" t="s">
        <v>261</v>
      </c>
      <c r="C22" s="643">
        <v>17</v>
      </c>
      <c r="D22" t="s">
        <v>292</v>
      </c>
      <c r="E22" s="641">
        <v>300000</v>
      </c>
      <c r="F22" s="641">
        <v>300</v>
      </c>
      <c r="G22" s="642" t="s">
        <v>1112</v>
      </c>
      <c r="H22" s="641">
        <v>20</v>
      </c>
    </row>
    <row r="23" spans="2:8">
      <c r="B23" s="641" t="s">
        <v>261</v>
      </c>
      <c r="C23" s="643">
        <v>18</v>
      </c>
      <c r="D23" t="s">
        <v>293</v>
      </c>
      <c r="E23" s="641">
        <v>300000</v>
      </c>
      <c r="F23" s="641">
        <v>300</v>
      </c>
      <c r="G23" s="642" t="s">
        <v>1112</v>
      </c>
      <c r="H23" s="641">
        <v>20</v>
      </c>
    </row>
    <row r="24" spans="2:8">
      <c r="B24" s="641" t="s">
        <v>261</v>
      </c>
      <c r="C24" s="643">
        <v>19</v>
      </c>
      <c r="D24" t="s">
        <v>294</v>
      </c>
      <c r="E24" s="641">
        <v>300000</v>
      </c>
      <c r="F24" s="641">
        <v>900</v>
      </c>
      <c r="G24" s="642" t="s">
        <v>1112</v>
      </c>
      <c r="H24" s="641">
        <v>20</v>
      </c>
    </row>
    <row r="25" spans="2:8">
      <c r="B25" s="641" t="s">
        <v>261</v>
      </c>
      <c r="C25" s="643">
        <v>20</v>
      </c>
      <c r="D25" t="s">
        <v>295</v>
      </c>
      <c r="E25" s="641">
        <v>300000</v>
      </c>
      <c r="F25" s="641">
        <v>300</v>
      </c>
      <c r="G25" s="642" t="s">
        <v>1112</v>
      </c>
      <c r="H25" s="641">
        <v>20</v>
      </c>
    </row>
    <row r="26" spans="2:8">
      <c r="B26" s="641" t="s">
        <v>261</v>
      </c>
      <c r="C26" s="643">
        <v>21</v>
      </c>
      <c r="D26" t="s">
        <v>296</v>
      </c>
      <c r="E26" s="641">
        <v>300000</v>
      </c>
      <c r="F26" s="641">
        <v>300</v>
      </c>
      <c r="G26" s="642" t="s">
        <v>1112</v>
      </c>
      <c r="H26" s="641">
        <v>20</v>
      </c>
    </row>
    <row r="27" spans="2:8">
      <c r="B27" s="641" t="s">
        <v>261</v>
      </c>
      <c r="C27" s="643">
        <v>22</v>
      </c>
      <c r="D27" t="s">
        <v>297</v>
      </c>
      <c r="E27" s="641">
        <v>300000</v>
      </c>
      <c r="F27" s="641">
        <v>300</v>
      </c>
      <c r="G27" s="642" t="s">
        <v>1112</v>
      </c>
      <c r="H27" s="641">
        <v>20</v>
      </c>
    </row>
    <row r="28" spans="2:8">
      <c r="B28" s="641" t="s">
        <v>261</v>
      </c>
      <c r="C28" s="643">
        <v>23</v>
      </c>
      <c r="D28" t="s">
        <v>298</v>
      </c>
      <c r="E28" s="641">
        <v>300000</v>
      </c>
      <c r="F28" s="641">
        <v>300</v>
      </c>
      <c r="G28" s="642" t="s">
        <v>1112</v>
      </c>
      <c r="H28" s="641">
        <v>20</v>
      </c>
    </row>
    <row r="29" spans="2:8">
      <c r="B29" s="641" t="s">
        <v>261</v>
      </c>
      <c r="C29" s="643">
        <v>24</v>
      </c>
      <c r="D29" t="s">
        <v>299</v>
      </c>
      <c r="E29" s="641">
        <v>300000</v>
      </c>
      <c r="F29" s="641">
        <v>300</v>
      </c>
      <c r="G29" s="642" t="s">
        <v>1112</v>
      </c>
      <c r="H29" s="641">
        <v>20</v>
      </c>
    </row>
    <row r="30" spans="2:8">
      <c r="B30" s="641" t="s">
        <v>261</v>
      </c>
      <c r="C30" s="643">
        <v>25</v>
      </c>
      <c r="D30" t="s">
        <v>300</v>
      </c>
      <c r="E30" s="641">
        <v>300000</v>
      </c>
      <c r="F30" s="641">
        <v>300</v>
      </c>
      <c r="G30" s="642" t="s">
        <v>1112</v>
      </c>
      <c r="H30" s="641">
        <v>20</v>
      </c>
    </row>
    <row r="31" spans="2:8">
      <c r="B31" s="641" t="s">
        <v>261</v>
      </c>
      <c r="C31" s="643">
        <v>26</v>
      </c>
      <c r="D31" t="s">
        <v>301</v>
      </c>
      <c r="E31" s="641">
        <v>300000</v>
      </c>
      <c r="F31" s="641">
        <v>300</v>
      </c>
      <c r="G31" s="642" t="s">
        <v>1112</v>
      </c>
      <c r="H31" s="641">
        <v>20</v>
      </c>
    </row>
    <row r="32" spans="2:8">
      <c r="B32" s="641" t="s">
        <v>261</v>
      </c>
      <c r="C32" s="643">
        <v>27</v>
      </c>
      <c r="D32" t="s">
        <v>302</v>
      </c>
      <c r="E32" s="641">
        <v>300000</v>
      </c>
      <c r="F32" s="641">
        <v>300</v>
      </c>
      <c r="G32" s="642" t="s">
        <v>1112</v>
      </c>
      <c r="H32" s="641">
        <v>20</v>
      </c>
    </row>
    <row r="33" spans="2:8">
      <c r="B33" s="641" t="s">
        <v>261</v>
      </c>
      <c r="C33" s="643">
        <v>28</v>
      </c>
      <c r="D33" t="s">
        <v>303</v>
      </c>
      <c r="E33" s="641">
        <v>300000</v>
      </c>
      <c r="F33" s="641">
        <v>300</v>
      </c>
      <c r="G33" s="642" t="s">
        <v>1112</v>
      </c>
      <c r="H33" s="641">
        <v>20</v>
      </c>
    </row>
    <row r="34" spans="2:8">
      <c r="B34" s="641" t="s">
        <v>261</v>
      </c>
      <c r="C34" s="643">
        <v>29</v>
      </c>
      <c r="D34" t="s">
        <v>304</v>
      </c>
      <c r="E34" s="641">
        <v>300000</v>
      </c>
      <c r="F34" s="641">
        <v>300</v>
      </c>
      <c r="G34" s="642" t="s">
        <v>1112</v>
      </c>
      <c r="H34" s="641">
        <v>20</v>
      </c>
    </row>
    <row r="35" spans="2:8">
      <c r="B35" s="641" t="s">
        <v>261</v>
      </c>
      <c r="C35" s="643">
        <v>30</v>
      </c>
      <c r="D35" t="s">
        <v>305</v>
      </c>
      <c r="E35" s="641">
        <v>300000</v>
      </c>
      <c r="F35" s="641">
        <v>300</v>
      </c>
      <c r="G35" s="642" t="s">
        <v>1112</v>
      </c>
      <c r="H35" s="641">
        <v>20</v>
      </c>
    </row>
    <row r="36" spans="2:8">
      <c r="B36" s="641" t="s">
        <v>261</v>
      </c>
      <c r="C36" s="643">
        <v>31</v>
      </c>
      <c r="D36" t="s">
        <v>306</v>
      </c>
      <c r="E36" s="641">
        <v>300000</v>
      </c>
      <c r="F36" s="641">
        <v>300</v>
      </c>
      <c r="G36" s="642" t="s">
        <v>1112</v>
      </c>
      <c r="H36" s="641">
        <v>20</v>
      </c>
    </row>
    <row r="37" spans="2:8">
      <c r="B37" s="641" t="s">
        <v>261</v>
      </c>
      <c r="C37" s="643">
        <v>32</v>
      </c>
      <c r="D37" t="s">
        <v>307</v>
      </c>
      <c r="E37" s="641">
        <v>300000</v>
      </c>
      <c r="F37" s="641">
        <v>300</v>
      </c>
      <c r="G37" s="642" t="s">
        <v>1112</v>
      </c>
      <c r="H37" s="641">
        <v>20</v>
      </c>
    </row>
    <row r="38" spans="2:8">
      <c r="B38" s="641" t="s">
        <v>262</v>
      </c>
      <c r="C38" s="643">
        <v>33</v>
      </c>
      <c r="D38" t="s">
        <v>308</v>
      </c>
      <c r="E38" s="641">
        <v>300000</v>
      </c>
      <c r="F38" s="641">
        <v>300</v>
      </c>
      <c r="G38" s="642" t="s">
        <v>1112</v>
      </c>
      <c r="H38" s="641">
        <v>20</v>
      </c>
    </row>
    <row r="39" spans="2:8">
      <c r="B39" s="641" t="s">
        <v>262</v>
      </c>
      <c r="C39" s="643">
        <v>34</v>
      </c>
      <c r="D39" t="s">
        <v>309</v>
      </c>
      <c r="E39" s="641">
        <v>300000</v>
      </c>
      <c r="F39" s="641">
        <v>300</v>
      </c>
      <c r="G39" s="642" t="s">
        <v>1112</v>
      </c>
      <c r="H39" s="641">
        <v>20</v>
      </c>
    </row>
    <row r="40" spans="2:8">
      <c r="B40" s="641" t="s">
        <v>262</v>
      </c>
      <c r="C40" s="643">
        <v>35</v>
      </c>
      <c r="D40" t="s">
        <v>310</v>
      </c>
      <c r="E40" s="641">
        <v>300000</v>
      </c>
      <c r="F40" s="641">
        <v>300</v>
      </c>
      <c r="G40" s="642" t="s">
        <v>1112</v>
      </c>
      <c r="H40" s="641">
        <v>20</v>
      </c>
    </row>
    <row r="41" spans="2:8">
      <c r="B41" s="641" t="s">
        <v>262</v>
      </c>
      <c r="C41" s="643">
        <v>36</v>
      </c>
      <c r="D41" t="s">
        <v>311</v>
      </c>
      <c r="E41" s="641">
        <v>300000</v>
      </c>
      <c r="F41" s="641">
        <v>300</v>
      </c>
      <c r="G41" s="642" t="s">
        <v>1112</v>
      </c>
      <c r="H41" s="641">
        <v>20</v>
      </c>
    </row>
    <row r="42" spans="2:8">
      <c r="B42" s="641" t="s">
        <v>263</v>
      </c>
      <c r="C42" s="643">
        <v>37</v>
      </c>
      <c r="D42" t="s">
        <v>312</v>
      </c>
      <c r="E42" s="641">
        <v>300000</v>
      </c>
      <c r="F42" s="641">
        <v>300</v>
      </c>
      <c r="G42" s="642" t="s">
        <v>1112</v>
      </c>
      <c r="H42" s="641">
        <v>20</v>
      </c>
    </row>
    <row r="43" spans="2:8">
      <c r="B43" s="641" t="s">
        <v>263</v>
      </c>
      <c r="C43" s="643">
        <v>38</v>
      </c>
      <c r="D43" t="s">
        <v>313</v>
      </c>
      <c r="E43" s="641">
        <v>50000</v>
      </c>
      <c r="F43" s="641">
        <v>100</v>
      </c>
      <c r="G43" s="642" t="s">
        <v>1112</v>
      </c>
      <c r="H43">
        <v>5</v>
      </c>
    </row>
    <row r="44" spans="2:8">
      <c r="B44" s="641" t="s">
        <v>263</v>
      </c>
      <c r="C44" s="643">
        <v>39</v>
      </c>
      <c r="D44" t="s">
        <v>314</v>
      </c>
      <c r="E44" s="641">
        <v>50000</v>
      </c>
      <c r="F44" s="641">
        <v>100</v>
      </c>
      <c r="G44" s="642" t="s">
        <v>1112</v>
      </c>
      <c r="H44" s="641">
        <v>5</v>
      </c>
    </row>
    <row r="45" spans="2:8">
      <c r="B45" s="641" t="s">
        <v>263</v>
      </c>
      <c r="C45" s="643">
        <v>40</v>
      </c>
      <c r="D45" t="s">
        <v>315</v>
      </c>
      <c r="E45" s="641">
        <v>300000</v>
      </c>
      <c r="F45" s="641">
        <v>300</v>
      </c>
      <c r="G45" s="642" t="s">
        <v>1112</v>
      </c>
      <c r="H45" s="641">
        <v>20</v>
      </c>
    </row>
    <row r="46" spans="2:8">
      <c r="B46" s="641" t="s">
        <v>263</v>
      </c>
      <c r="C46" s="643">
        <v>41</v>
      </c>
      <c r="D46" t="s">
        <v>316</v>
      </c>
      <c r="E46" s="641">
        <v>300000</v>
      </c>
      <c r="F46" s="641">
        <v>300</v>
      </c>
      <c r="G46" s="642" t="s">
        <v>1112</v>
      </c>
      <c r="H46" s="641">
        <v>20</v>
      </c>
    </row>
    <row r="47" spans="2:8">
      <c r="B47" s="641" t="s">
        <v>263</v>
      </c>
      <c r="C47" s="643">
        <v>410</v>
      </c>
      <c r="D47" t="s">
        <v>1186</v>
      </c>
      <c r="E47" s="641">
        <v>300000</v>
      </c>
      <c r="F47" s="641">
        <v>300</v>
      </c>
      <c r="G47" s="642" t="s">
        <v>1112</v>
      </c>
      <c r="H47" s="641">
        <v>20</v>
      </c>
    </row>
    <row r="48" spans="2:8">
      <c r="B48" s="641" t="s">
        <v>263</v>
      </c>
      <c r="C48" s="643">
        <v>411</v>
      </c>
      <c r="D48" t="s">
        <v>317</v>
      </c>
      <c r="E48" s="641">
        <v>50000</v>
      </c>
      <c r="F48" s="641">
        <v>100</v>
      </c>
      <c r="G48" s="642" t="s">
        <v>1112</v>
      </c>
      <c r="H48" s="641">
        <v>5</v>
      </c>
    </row>
    <row r="49" spans="2:8">
      <c r="B49" s="641" t="s">
        <v>263</v>
      </c>
      <c r="C49" s="643">
        <v>412</v>
      </c>
      <c r="D49" t="s">
        <v>318</v>
      </c>
      <c r="E49" s="641">
        <v>50000</v>
      </c>
      <c r="F49" s="641">
        <v>100</v>
      </c>
      <c r="G49" s="642" t="s">
        <v>1112</v>
      </c>
      <c r="H49" s="641">
        <v>5</v>
      </c>
    </row>
    <row r="50" spans="2:8">
      <c r="B50" s="641" t="s">
        <v>263</v>
      </c>
      <c r="C50" s="643">
        <v>413</v>
      </c>
      <c r="D50" t="s">
        <v>319</v>
      </c>
      <c r="E50" s="641">
        <v>300000</v>
      </c>
      <c r="F50" s="641">
        <v>300</v>
      </c>
      <c r="G50" s="642" t="s">
        <v>1112</v>
      </c>
      <c r="H50" s="641">
        <v>20</v>
      </c>
    </row>
    <row r="51" spans="2:8">
      <c r="B51" s="641" t="s">
        <v>263</v>
      </c>
      <c r="C51" s="643">
        <v>414</v>
      </c>
      <c r="D51" t="s">
        <v>320</v>
      </c>
      <c r="E51" s="641">
        <v>300000</v>
      </c>
      <c r="F51" s="641">
        <v>300</v>
      </c>
      <c r="G51" s="642" t="s">
        <v>1112</v>
      </c>
      <c r="H51" s="641">
        <v>20</v>
      </c>
    </row>
    <row r="52" spans="2:8">
      <c r="B52" s="641" t="s">
        <v>263</v>
      </c>
      <c r="C52" s="643">
        <v>415</v>
      </c>
      <c r="D52" t="s">
        <v>321</v>
      </c>
      <c r="E52" s="641">
        <v>50000</v>
      </c>
      <c r="F52" s="641">
        <v>100</v>
      </c>
      <c r="G52" s="642" t="s">
        <v>1112</v>
      </c>
      <c r="H52" s="641">
        <v>5</v>
      </c>
    </row>
    <row r="53" spans="2:8">
      <c r="B53" s="641" t="s">
        <v>263</v>
      </c>
      <c r="C53" s="643">
        <v>416</v>
      </c>
      <c r="D53" t="s">
        <v>322</v>
      </c>
      <c r="E53" s="641">
        <v>50000</v>
      </c>
      <c r="F53" s="641">
        <v>100</v>
      </c>
      <c r="G53" s="642" t="s">
        <v>1112</v>
      </c>
      <c r="H53" s="641">
        <v>5</v>
      </c>
    </row>
    <row r="54" spans="2:8">
      <c r="B54" s="641" t="s">
        <v>983</v>
      </c>
      <c r="C54" s="643">
        <v>42</v>
      </c>
      <c r="D54" t="s">
        <v>323</v>
      </c>
      <c r="E54" s="641">
        <v>300000</v>
      </c>
      <c r="F54" s="641">
        <v>300</v>
      </c>
      <c r="G54" s="642" t="s">
        <v>1112</v>
      </c>
      <c r="H54" s="641">
        <v>20</v>
      </c>
    </row>
    <row r="55" spans="2:8">
      <c r="B55" s="641" t="s">
        <v>983</v>
      </c>
      <c r="C55" s="643">
        <v>43</v>
      </c>
      <c r="D55" t="s">
        <v>324</v>
      </c>
      <c r="E55" s="641">
        <v>300000</v>
      </c>
      <c r="F55" s="641">
        <v>300</v>
      </c>
      <c r="G55" s="642" t="s">
        <v>1112</v>
      </c>
      <c r="H55" s="641">
        <v>20</v>
      </c>
    </row>
    <row r="56" spans="2:8">
      <c r="B56" s="641" t="s">
        <v>983</v>
      </c>
      <c r="C56" s="643">
        <v>44</v>
      </c>
      <c r="D56" t="s">
        <v>325</v>
      </c>
      <c r="E56" s="641">
        <v>300000</v>
      </c>
      <c r="F56" s="641">
        <v>300</v>
      </c>
      <c r="G56" s="642" t="s">
        <v>1112</v>
      </c>
      <c r="H56" s="641">
        <v>20</v>
      </c>
    </row>
    <row r="57" spans="2:8">
      <c r="B57" s="641" t="s">
        <v>983</v>
      </c>
      <c r="C57" s="643">
        <v>45</v>
      </c>
      <c r="D57" t="s">
        <v>326</v>
      </c>
      <c r="E57" s="641">
        <v>300000</v>
      </c>
      <c r="F57" s="641">
        <v>300</v>
      </c>
      <c r="G57" s="642" t="s">
        <v>1112</v>
      </c>
      <c r="H57" s="641">
        <v>20</v>
      </c>
    </row>
    <row r="58" spans="2:8">
      <c r="B58" s="641" t="s">
        <v>983</v>
      </c>
      <c r="C58" s="643">
        <v>46</v>
      </c>
      <c r="D58" t="s">
        <v>327</v>
      </c>
      <c r="E58" s="641">
        <v>300000</v>
      </c>
      <c r="F58" s="641">
        <v>300</v>
      </c>
      <c r="G58" s="642" t="s">
        <v>1112</v>
      </c>
      <c r="H58" s="641">
        <v>20</v>
      </c>
    </row>
    <row r="59" spans="2:8">
      <c r="B59" s="641" t="s">
        <v>983</v>
      </c>
      <c r="C59" s="643">
        <v>47</v>
      </c>
      <c r="D59" t="s">
        <v>328</v>
      </c>
      <c r="E59" s="641">
        <v>300000</v>
      </c>
      <c r="F59" s="641">
        <v>300</v>
      </c>
      <c r="G59" s="642" t="s">
        <v>1112</v>
      </c>
      <c r="H59" s="641">
        <v>20</v>
      </c>
    </row>
    <row r="60" spans="2:8">
      <c r="B60" s="641" t="s">
        <v>983</v>
      </c>
      <c r="C60" s="643">
        <v>48</v>
      </c>
      <c r="D60" t="s">
        <v>329</v>
      </c>
      <c r="E60" s="641">
        <v>300000</v>
      </c>
      <c r="F60" s="641">
        <v>300</v>
      </c>
      <c r="G60" s="642" t="s">
        <v>1112</v>
      </c>
      <c r="H60" s="641">
        <v>20</v>
      </c>
    </row>
    <row r="61" spans="2:8">
      <c r="B61" s="641" t="s">
        <v>983</v>
      </c>
      <c r="C61" s="643">
        <v>49</v>
      </c>
      <c r="D61" t="s">
        <v>330</v>
      </c>
      <c r="E61" s="641">
        <v>300000</v>
      </c>
      <c r="F61" s="641">
        <v>300</v>
      </c>
      <c r="G61" s="642" t="s">
        <v>1112</v>
      </c>
      <c r="H61" s="641">
        <v>20</v>
      </c>
    </row>
    <row r="62" spans="2:8">
      <c r="B62" s="641" t="s">
        <v>984</v>
      </c>
      <c r="C62" s="643">
        <v>50</v>
      </c>
      <c r="D62" t="s">
        <v>331</v>
      </c>
      <c r="E62" s="641">
        <v>100000</v>
      </c>
      <c r="F62" s="641">
        <v>100</v>
      </c>
      <c r="G62" s="642" t="s">
        <v>1112</v>
      </c>
      <c r="H62" s="641">
        <v>5</v>
      </c>
    </row>
    <row r="63" spans="2:8">
      <c r="B63" s="641" t="s">
        <v>984</v>
      </c>
      <c r="C63" s="643">
        <v>51</v>
      </c>
      <c r="D63" t="s">
        <v>332</v>
      </c>
      <c r="E63" s="641">
        <v>100000</v>
      </c>
      <c r="F63" s="641">
        <v>100</v>
      </c>
      <c r="G63" s="642" t="s">
        <v>1112</v>
      </c>
      <c r="H63" s="641">
        <v>5</v>
      </c>
    </row>
    <row r="64" spans="2:8">
      <c r="B64" s="641" t="s">
        <v>984</v>
      </c>
      <c r="C64" s="643">
        <v>52</v>
      </c>
      <c r="D64" t="s">
        <v>333</v>
      </c>
      <c r="E64" s="641">
        <v>100000</v>
      </c>
      <c r="F64" s="641">
        <v>100</v>
      </c>
      <c r="G64" s="642" t="s">
        <v>1112</v>
      </c>
      <c r="H64" s="641">
        <v>5</v>
      </c>
    </row>
    <row r="65" spans="2:8">
      <c r="B65" s="641" t="s">
        <v>984</v>
      </c>
      <c r="C65" s="643">
        <v>53</v>
      </c>
      <c r="D65" t="s">
        <v>1187</v>
      </c>
      <c r="E65" s="641">
        <v>100000</v>
      </c>
      <c r="F65" s="641">
        <v>100</v>
      </c>
      <c r="G65" s="642" t="s">
        <v>1112</v>
      </c>
      <c r="H65" s="641">
        <v>5</v>
      </c>
    </row>
    <row r="66" spans="2:8">
      <c r="B66" s="641" t="s">
        <v>984</v>
      </c>
      <c r="C66" s="643">
        <v>54</v>
      </c>
      <c r="D66" t="s">
        <v>334</v>
      </c>
      <c r="E66" s="641">
        <v>100000</v>
      </c>
      <c r="F66" s="641">
        <v>100</v>
      </c>
      <c r="G66" s="642" t="s">
        <v>1112</v>
      </c>
      <c r="H66" s="641">
        <v>5</v>
      </c>
    </row>
    <row r="67" spans="2:8">
      <c r="B67" s="641" t="s">
        <v>984</v>
      </c>
      <c r="C67" s="643">
        <v>55</v>
      </c>
      <c r="D67" t="s">
        <v>335</v>
      </c>
      <c r="E67" s="641">
        <v>100000</v>
      </c>
      <c r="F67" s="641">
        <v>100</v>
      </c>
      <c r="G67" s="642" t="s">
        <v>1112</v>
      </c>
      <c r="H67" s="641">
        <v>5</v>
      </c>
    </row>
    <row r="68" spans="2:8">
      <c r="B68" s="641" t="s">
        <v>984</v>
      </c>
      <c r="C68" s="643">
        <v>56</v>
      </c>
      <c r="D68" t="s">
        <v>336</v>
      </c>
      <c r="E68" s="641">
        <v>50000</v>
      </c>
      <c r="F68" s="641">
        <v>50</v>
      </c>
      <c r="G68" s="642" t="s">
        <v>1112</v>
      </c>
      <c r="H68" s="641">
        <v>5</v>
      </c>
    </row>
    <row r="69" spans="2:8">
      <c r="B69" s="641" t="s">
        <v>984</v>
      </c>
      <c r="C69" s="643">
        <v>57</v>
      </c>
      <c r="D69" t="s">
        <v>337</v>
      </c>
      <c r="E69" s="641">
        <v>50000</v>
      </c>
      <c r="F69" s="641">
        <v>50</v>
      </c>
      <c r="G69" s="642" t="s">
        <v>1112</v>
      </c>
      <c r="H69" s="641">
        <v>5</v>
      </c>
    </row>
    <row r="70" spans="2:8">
      <c r="B70" s="641" t="s">
        <v>984</v>
      </c>
      <c r="C70" s="643">
        <v>58</v>
      </c>
      <c r="D70" t="s">
        <v>338</v>
      </c>
      <c r="E70" s="641">
        <v>50000</v>
      </c>
      <c r="F70" s="641">
        <v>50</v>
      </c>
      <c r="G70" s="642" t="s">
        <v>1112</v>
      </c>
      <c r="H70" s="641">
        <v>5</v>
      </c>
    </row>
    <row r="71" spans="2:8">
      <c r="B71" s="641" t="s">
        <v>984</v>
      </c>
      <c r="C71" s="643">
        <v>59</v>
      </c>
      <c r="D71" t="s">
        <v>339</v>
      </c>
      <c r="E71" s="641">
        <v>50000</v>
      </c>
      <c r="F71" s="641">
        <v>50</v>
      </c>
      <c r="G71" s="642" t="s">
        <v>1112</v>
      </c>
      <c r="H71" s="641">
        <v>5</v>
      </c>
    </row>
    <row r="72" spans="2:8">
      <c r="B72" s="641" t="s">
        <v>984</v>
      </c>
      <c r="C72" s="643">
        <v>60</v>
      </c>
      <c r="D72" t="s">
        <v>340</v>
      </c>
      <c r="E72" s="641">
        <v>50000</v>
      </c>
      <c r="F72" s="641">
        <v>50</v>
      </c>
      <c r="G72" s="642" t="s">
        <v>1112</v>
      </c>
      <c r="H72" s="641">
        <v>5</v>
      </c>
    </row>
    <row r="73" spans="2:8">
      <c r="B73" s="641" t="s">
        <v>984</v>
      </c>
      <c r="C73" s="643">
        <v>61</v>
      </c>
      <c r="D73" t="s">
        <v>341</v>
      </c>
      <c r="E73" s="641">
        <v>50000</v>
      </c>
      <c r="F73" s="641">
        <v>50</v>
      </c>
      <c r="G73" s="642" t="s">
        <v>1112</v>
      </c>
      <c r="H73" s="641">
        <v>5</v>
      </c>
    </row>
    <row r="74" spans="2:8">
      <c r="B74" s="641" t="s">
        <v>985</v>
      </c>
      <c r="C74" s="643">
        <v>62</v>
      </c>
      <c r="D74" t="s">
        <v>342</v>
      </c>
      <c r="E74" s="641">
        <v>300000</v>
      </c>
      <c r="F74" s="641">
        <v>300</v>
      </c>
      <c r="G74" s="642" t="s">
        <v>1112</v>
      </c>
      <c r="H74" s="641">
        <v>20</v>
      </c>
    </row>
    <row r="75" spans="2:8">
      <c r="B75" s="641" t="s">
        <v>985</v>
      </c>
      <c r="C75" s="643">
        <v>63</v>
      </c>
      <c r="D75" t="s">
        <v>343</v>
      </c>
      <c r="E75" s="641">
        <v>300000</v>
      </c>
      <c r="F75" s="641">
        <v>300</v>
      </c>
      <c r="G75" s="642" t="s">
        <v>1112</v>
      </c>
      <c r="H75" s="641">
        <v>20</v>
      </c>
    </row>
    <row r="76" spans="2:8">
      <c r="B76" s="641" t="s">
        <v>985</v>
      </c>
      <c r="C76" s="643">
        <v>64</v>
      </c>
      <c r="D76" t="s">
        <v>1188</v>
      </c>
      <c r="E76" s="641">
        <v>300000</v>
      </c>
      <c r="F76" s="641">
        <v>300</v>
      </c>
      <c r="G76" s="642" t="s">
        <v>1112</v>
      </c>
      <c r="H76" s="641">
        <v>20</v>
      </c>
    </row>
    <row r="77" spans="2:8">
      <c r="B77" s="641" t="s">
        <v>985</v>
      </c>
      <c r="C77" s="643">
        <v>65</v>
      </c>
      <c r="D77" t="s">
        <v>1189</v>
      </c>
      <c r="E77" s="641">
        <v>300000</v>
      </c>
      <c r="F77" s="641">
        <v>300</v>
      </c>
      <c r="G77" s="642" t="s">
        <v>1112</v>
      </c>
      <c r="H77" s="641">
        <v>20</v>
      </c>
    </row>
    <row r="78" spans="2:8">
      <c r="B78" s="641" t="s">
        <v>985</v>
      </c>
      <c r="C78" s="643">
        <v>66</v>
      </c>
      <c r="D78" t="s">
        <v>344</v>
      </c>
      <c r="E78" s="641">
        <v>300000</v>
      </c>
      <c r="F78" s="641">
        <v>300</v>
      </c>
      <c r="G78" s="642" t="s">
        <v>1112</v>
      </c>
      <c r="H78" s="641">
        <v>20</v>
      </c>
    </row>
    <row r="79" spans="2:8">
      <c r="B79" s="641" t="s">
        <v>985</v>
      </c>
      <c r="C79" s="643">
        <v>67</v>
      </c>
      <c r="D79" t="s">
        <v>1190</v>
      </c>
      <c r="E79" s="641">
        <v>300000</v>
      </c>
      <c r="F79" s="641">
        <v>300</v>
      </c>
      <c r="G79" s="642" t="s">
        <v>1112</v>
      </c>
      <c r="H79" s="641">
        <v>20</v>
      </c>
    </row>
    <row r="80" spans="2:8">
      <c r="B80" s="641" t="s">
        <v>986</v>
      </c>
      <c r="C80" s="643">
        <v>68</v>
      </c>
      <c r="D80" t="s">
        <v>346</v>
      </c>
      <c r="E80" s="641">
        <v>300000</v>
      </c>
      <c r="F80" s="641">
        <v>300</v>
      </c>
      <c r="G80" s="642" t="s">
        <v>1112</v>
      </c>
      <c r="H80" s="641">
        <v>20</v>
      </c>
    </row>
    <row r="81" spans="2:8">
      <c r="B81" s="641" t="s">
        <v>986</v>
      </c>
      <c r="C81" s="643">
        <v>69</v>
      </c>
      <c r="D81" t="s">
        <v>347</v>
      </c>
      <c r="E81" s="641">
        <v>300000</v>
      </c>
      <c r="F81" s="641">
        <v>300</v>
      </c>
      <c r="G81" s="642" t="s">
        <v>1112</v>
      </c>
      <c r="H81" s="641">
        <v>20</v>
      </c>
    </row>
    <row r="82" spans="2:8">
      <c r="B82" s="641" t="s">
        <v>986</v>
      </c>
      <c r="C82" s="643">
        <v>690</v>
      </c>
      <c r="D82" t="s">
        <v>1191</v>
      </c>
      <c r="E82" s="641">
        <v>300000</v>
      </c>
      <c r="F82" s="641">
        <v>300</v>
      </c>
      <c r="G82" s="642" t="s">
        <v>1112</v>
      </c>
      <c r="H82" s="641">
        <v>20</v>
      </c>
    </row>
    <row r="83" spans="2:8">
      <c r="B83" s="641" t="s">
        <v>986</v>
      </c>
      <c r="C83" s="643">
        <v>691</v>
      </c>
      <c r="D83" t="s">
        <v>348</v>
      </c>
      <c r="E83" s="641">
        <v>300000</v>
      </c>
      <c r="F83" s="641">
        <v>300</v>
      </c>
      <c r="G83" s="642" t="s">
        <v>1112</v>
      </c>
      <c r="H83" s="641">
        <v>20</v>
      </c>
    </row>
    <row r="84" spans="2:8">
      <c r="B84" s="641" t="s">
        <v>986</v>
      </c>
      <c r="C84" s="643">
        <v>692</v>
      </c>
      <c r="D84" t="s">
        <v>850</v>
      </c>
      <c r="E84" s="641">
        <v>300000</v>
      </c>
      <c r="F84" s="641">
        <v>300</v>
      </c>
      <c r="G84" s="642" t="s">
        <v>1112</v>
      </c>
      <c r="H84" s="641">
        <v>20</v>
      </c>
    </row>
    <row r="85" spans="2:8">
      <c r="B85" s="641" t="s">
        <v>986</v>
      </c>
      <c r="C85" s="643">
        <v>693</v>
      </c>
      <c r="D85" t="s">
        <v>349</v>
      </c>
      <c r="E85" s="641">
        <v>50000</v>
      </c>
      <c r="F85" s="641">
        <v>100</v>
      </c>
      <c r="G85" s="642" t="s">
        <v>1112</v>
      </c>
      <c r="H85" s="641">
        <v>5</v>
      </c>
    </row>
    <row r="86" spans="2:8">
      <c r="B86" s="641" t="s">
        <v>986</v>
      </c>
      <c r="C86" s="643">
        <v>694</v>
      </c>
      <c r="D86" t="s">
        <v>350</v>
      </c>
      <c r="E86" s="641">
        <v>300000</v>
      </c>
      <c r="F86" s="641">
        <v>300</v>
      </c>
      <c r="G86" s="642" t="s">
        <v>1112</v>
      </c>
      <c r="H86" s="641">
        <v>20</v>
      </c>
    </row>
    <row r="87" spans="2:8">
      <c r="B87" s="641" t="s">
        <v>986</v>
      </c>
      <c r="C87" s="643">
        <v>70</v>
      </c>
      <c r="D87" t="s">
        <v>351</v>
      </c>
      <c r="E87" s="641">
        <v>50000</v>
      </c>
      <c r="F87" s="641">
        <v>100</v>
      </c>
      <c r="G87" s="642" t="s">
        <v>1112</v>
      </c>
      <c r="H87" s="641">
        <v>5</v>
      </c>
    </row>
    <row r="88" spans="2:8">
      <c r="B88" s="641" t="s">
        <v>987</v>
      </c>
      <c r="C88" s="643">
        <v>71</v>
      </c>
      <c r="D88" t="s">
        <v>352</v>
      </c>
      <c r="E88" s="641">
        <v>50000</v>
      </c>
      <c r="F88" s="641">
        <v>100</v>
      </c>
      <c r="G88" s="642" t="s">
        <v>1112</v>
      </c>
      <c r="H88" s="641">
        <v>5</v>
      </c>
    </row>
    <row r="89" spans="2:8">
      <c r="B89" s="641" t="s">
        <v>987</v>
      </c>
      <c r="C89" s="643">
        <v>72</v>
      </c>
      <c r="D89" t="s">
        <v>353</v>
      </c>
      <c r="E89" s="641">
        <v>50000</v>
      </c>
      <c r="F89" s="641">
        <v>100</v>
      </c>
      <c r="G89" s="642" t="s">
        <v>1112</v>
      </c>
      <c r="H89" s="641">
        <v>5</v>
      </c>
    </row>
    <row r="90" spans="2:8">
      <c r="B90" s="641" t="s">
        <v>987</v>
      </c>
      <c r="C90" s="643">
        <v>73</v>
      </c>
      <c r="D90" t="s">
        <v>354</v>
      </c>
      <c r="E90" s="641">
        <v>50000</v>
      </c>
      <c r="F90" s="641">
        <v>100</v>
      </c>
      <c r="G90" s="642" t="s">
        <v>1112</v>
      </c>
      <c r="H90" s="641">
        <v>5</v>
      </c>
    </row>
    <row r="91" spans="2:8">
      <c r="B91" s="641" t="s">
        <v>987</v>
      </c>
      <c r="C91" s="643">
        <v>74</v>
      </c>
      <c r="D91" t="s">
        <v>355</v>
      </c>
      <c r="E91" s="641">
        <v>50000</v>
      </c>
      <c r="F91" s="641">
        <v>100</v>
      </c>
      <c r="G91" s="642" t="s">
        <v>1112</v>
      </c>
      <c r="H91" s="641">
        <v>5</v>
      </c>
    </row>
    <row r="92" spans="2:8">
      <c r="B92" s="641" t="s">
        <v>980</v>
      </c>
      <c r="C92" s="643">
        <v>75</v>
      </c>
      <c r="D92" t="s">
        <v>356</v>
      </c>
      <c r="E92" s="641">
        <v>50000</v>
      </c>
      <c r="F92" s="641">
        <v>100</v>
      </c>
      <c r="G92" s="642" t="s">
        <v>1112</v>
      </c>
      <c r="H92" s="641">
        <v>5</v>
      </c>
    </row>
    <row r="93" spans="2:8">
      <c r="B93" s="641" t="s">
        <v>980</v>
      </c>
      <c r="C93" s="643">
        <v>76</v>
      </c>
      <c r="D93" t="s">
        <v>357</v>
      </c>
      <c r="E93" s="641">
        <v>50000</v>
      </c>
      <c r="F93" s="641">
        <v>50</v>
      </c>
      <c r="G93" s="642" t="s">
        <v>1112</v>
      </c>
      <c r="H93" s="641">
        <v>5</v>
      </c>
    </row>
    <row r="94" spans="2:8">
      <c r="B94" s="641" t="s">
        <v>980</v>
      </c>
      <c r="C94" s="643">
        <v>77</v>
      </c>
      <c r="D94" t="s">
        <v>358</v>
      </c>
      <c r="E94" s="641">
        <v>50000</v>
      </c>
      <c r="F94" s="641">
        <v>50</v>
      </c>
      <c r="G94" s="642" t="s">
        <v>1112</v>
      </c>
      <c r="H94" s="641">
        <v>5</v>
      </c>
    </row>
    <row r="95" spans="2:8">
      <c r="B95" s="641" t="s">
        <v>988</v>
      </c>
      <c r="C95" s="643">
        <v>78</v>
      </c>
      <c r="D95" t="s">
        <v>359</v>
      </c>
      <c r="E95" s="641">
        <v>50000</v>
      </c>
      <c r="F95" s="641">
        <v>100</v>
      </c>
      <c r="G95" s="642" t="s">
        <v>1112</v>
      </c>
      <c r="H95" s="641">
        <v>5</v>
      </c>
    </row>
    <row r="96" spans="2:8">
      <c r="B96" s="641" t="s">
        <v>988</v>
      </c>
      <c r="C96" s="643">
        <v>79</v>
      </c>
      <c r="D96" t="s">
        <v>360</v>
      </c>
      <c r="E96" s="641">
        <v>50000</v>
      </c>
      <c r="F96" s="641">
        <v>100</v>
      </c>
      <c r="G96" s="642" t="s">
        <v>1112</v>
      </c>
      <c r="H96" s="641">
        <v>5</v>
      </c>
    </row>
    <row r="97" spans="2:8">
      <c r="B97" s="641" t="s">
        <v>988</v>
      </c>
      <c r="C97" s="643">
        <v>80</v>
      </c>
      <c r="D97" t="s">
        <v>361</v>
      </c>
      <c r="E97" s="641">
        <v>50000</v>
      </c>
      <c r="F97" s="641">
        <v>100</v>
      </c>
      <c r="G97" s="642" t="s">
        <v>1112</v>
      </c>
      <c r="H97" s="641">
        <v>5</v>
      </c>
    </row>
    <row r="98" spans="2:8">
      <c r="B98" s="641" t="s">
        <v>989</v>
      </c>
      <c r="C98" s="643">
        <v>81</v>
      </c>
      <c r="D98" t="s">
        <v>362</v>
      </c>
      <c r="E98" s="641">
        <v>50000</v>
      </c>
      <c r="F98" s="641">
        <v>100</v>
      </c>
      <c r="G98" s="642" t="s">
        <v>1112</v>
      </c>
      <c r="H98" s="641">
        <v>5</v>
      </c>
    </row>
    <row r="99" spans="2:8">
      <c r="B99" s="641" t="s">
        <v>989</v>
      </c>
      <c r="C99" s="643">
        <v>82</v>
      </c>
      <c r="D99" t="s">
        <v>1192</v>
      </c>
      <c r="E99" s="641">
        <v>50000</v>
      </c>
      <c r="F99" s="641">
        <v>100</v>
      </c>
      <c r="G99" s="642" t="s">
        <v>1112</v>
      </c>
      <c r="H99" s="641">
        <v>5</v>
      </c>
    </row>
    <row r="100" spans="2:8">
      <c r="B100" s="641" t="s">
        <v>990</v>
      </c>
      <c r="C100" s="643">
        <v>83</v>
      </c>
      <c r="D100" t="s">
        <v>363</v>
      </c>
      <c r="E100" s="641">
        <v>50000</v>
      </c>
      <c r="F100" s="641">
        <v>100</v>
      </c>
      <c r="G100" s="642" t="s">
        <v>1112</v>
      </c>
      <c r="H100" s="641">
        <v>5</v>
      </c>
    </row>
    <row r="101" spans="2:8">
      <c r="B101" s="641" t="s">
        <v>990</v>
      </c>
      <c r="C101" s="643">
        <v>84</v>
      </c>
      <c r="D101" t="s">
        <v>364</v>
      </c>
      <c r="E101" s="641">
        <v>50000</v>
      </c>
      <c r="F101" s="641">
        <v>100</v>
      </c>
      <c r="G101" s="642" t="s">
        <v>1112</v>
      </c>
      <c r="H101" s="641">
        <v>5</v>
      </c>
    </row>
    <row r="102" spans="2:8">
      <c r="B102" s="641" t="s">
        <v>990</v>
      </c>
      <c r="C102" s="643">
        <v>85</v>
      </c>
      <c r="D102" t="s">
        <v>365</v>
      </c>
      <c r="E102" s="641">
        <v>50000</v>
      </c>
      <c r="F102" s="641">
        <v>100</v>
      </c>
      <c r="G102" s="642" t="s">
        <v>1112</v>
      </c>
      <c r="H102" s="641">
        <v>5</v>
      </c>
    </row>
    <row r="103" spans="2:8">
      <c r="B103" s="641" t="s">
        <v>264</v>
      </c>
      <c r="C103" s="643">
        <v>86</v>
      </c>
      <c r="D103" t="s">
        <v>366</v>
      </c>
      <c r="E103" s="641">
        <v>50000</v>
      </c>
      <c r="F103" s="641">
        <v>100</v>
      </c>
      <c r="G103" s="642" t="s">
        <v>1112</v>
      </c>
      <c r="H103" s="641">
        <v>5</v>
      </c>
    </row>
    <row r="104" spans="2:8">
      <c r="B104" s="641" t="s">
        <v>264</v>
      </c>
      <c r="C104" s="643">
        <v>87</v>
      </c>
      <c r="D104" t="s">
        <v>367</v>
      </c>
      <c r="E104" s="641">
        <v>50000</v>
      </c>
      <c r="F104" s="641">
        <v>100</v>
      </c>
      <c r="G104" s="642" t="s">
        <v>1112</v>
      </c>
      <c r="H104" s="641">
        <v>5</v>
      </c>
    </row>
    <row r="105" spans="2:8">
      <c r="B105" s="641" t="s">
        <v>265</v>
      </c>
      <c r="C105" s="643">
        <v>88</v>
      </c>
      <c r="D105" t="s">
        <v>368</v>
      </c>
      <c r="E105" s="641">
        <v>50000</v>
      </c>
      <c r="F105" s="641">
        <v>100</v>
      </c>
      <c r="G105" s="642" t="s">
        <v>1112</v>
      </c>
      <c r="H105" s="641">
        <v>5</v>
      </c>
    </row>
    <row r="106" spans="2:8">
      <c r="B106" s="641" t="s">
        <v>265</v>
      </c>
      <c r="C106" s="643">
        <v>89</v>
      </c>
      <c r="D106" t="s">
        <v>369</v>
      </c>
      <c r="E106" s="641">
        <v>50000</v>
      </c>
      <c r="F106" s="641">
        <v>100</v>
      </c>
      <c r="G106" s="642" t="s">
        <v>1112</v>
      </c>
      <c r="H106" s="641">
        <v>5</v>
      </c>
    </row>
    <row r="107" spans="2:8">
      <c r="B107" s="641" t="s">
        <v>265</v>
      </c>
      <c r="C107" s="643">
        <v>90</v>
      </c>
      <c r="D107" t="s">
        <v>370</v>
      </c>
      <c r="E107" s="641">
        <v>50000</v>
      </c>
      <c r="F107" s="641">
        <v>100</v>
      </c>
      <c r="G107" s="642" t="s">
        <v>1112</v>
      </c>
      <c r="H107" s="641">
        <v>5</v>
      </c>
    </row>
    <row r="108" spans="2:8">
      <c r="B108" s="641" t="s">
        <v>265</v>
      </c>
      <c r="C108" s="643">
        <v>91</v>
      </c>
      <c r="D108" t="s">
        <v>371</v>
      </c>
      <c r="E108" s="641">
        <v>50000</v>
      </c>
      <c r="F108" s="641">
        <v>100</v>
      </c>
      <c r="G108" s="642" t="s">
        <v>1112</v>
      </c>
      <c r="H108" s="641">
        <v>5</v>
      </c>
    </row>
    <row r="109" spans="2:8">
      <c r="B109" s="641" t="s">
        <v>265</v>
      </c>
      <c r="C109" s="643">
        <v>92</v>
      </c>
      <c r="D109" t="s">
        <v>372</v>
      </c>
      <c r="E109" s="641">
        <v>50000</v>
      </c>
      <c r="F109" s="641">
        <v>100</v>
      </c>
      <c r="G109" s="642" t="s">
        <v>1112</v>
      </c>
      <c r="H109" s="641">
        <v>5</v>
      </c>
    </row>
    <row r="110" spans="2:8">
      <c r="B110" s="641" t="s">
        <v>265</v>
      </c>
      <c r="C110" s="643">
        <v>93</v>
      </c>
      <c r="D110" t="s">
        <v>373</v>
      </c>
      <c r="E110" s="641">
        <v>50000</v>
      </c>
      <c r="F110" s="641">
        <v>100</v>
      </c>
      <c r="G110" s="642" t="s">
        <v>1112</v>
      </c>
      <c r="H110" s="641">
        <v>5</v>
      </c>
    </row>
    <row r="111" spans="2:8">
      <c r="B111" s="641" t="s">
        <v>265</v>
      </c>
      <c r="C111" s="643">
        <v>94</v>
      </c>
      <c r="D111" t="s">
        <v>374</v>
      </c>
      <c r="E111" s="641">
        <v>50000</v>
      </c>
      <c r="F111" s="641">
        <v>100</v>
      </c>
      <c r="G111" s="642" t="s">
        <v>1112</v>
      </c>
      <c r="H111" s="641">
        <v>5</v>
      </c>
    </row>
    <row r="112" spans="2:8">
      <c r="B112" s="641" t="s">
        <v>265</v>
      </c>
      <c r="C112" s="643">
        <v>95</v>
      </c>
      <c r="D112" t="s">
        <v>375</v>
      </c>
      <c r="E112" s="641">
        <v>50000</v>
      </c>
      <c r="F112" s="641">
        <v>100</v>
      </c>
      <c r="G112" s="642" t="s">
        <v>1112</v>
      </c>
      <c r="H112" s="641">
        <v>5</v>
      </c>
    </row>
    <row r="113" spans="2:8">
      <c r="B113" s="641" t="s">
        <v>265</v>
      </c>
      <c r="C113" s="643">
        <v>96</v>
      </c>
      <c r="D113" t="s">
        <v>376</v>
      </c>
      <c r="E113" s="641">
        <v>50000</v>
      </c>
      <c r="F113" s="641">
        <v>100</v>
      </c>
      <c r="G113" s="642" t="s">
        <v>1112</v>
      </c>
      <c r="H113" s="641">
        <v>5</v>
      </c>
    </row>
    <row r="114" spans="2:8">
      <c r="B114" s="641" t="s">
        <v>266</v>
      </c>
      <c r="C114" s="643">
        <v>97</v>
      </c>
      <c r="D114" t="s">
        <v>377</v>
      </c>
      <c r="E114" s="641">
        <v>300000</v>
      </c>
      <c r="F114" s="641">
        <v>300</v>
      </c>
      <c r="G114" s="642" t="s">
        <v>1112</v>
      </c>
      <c r="H114" s="641">
        <v>20</v>
      </c>
    </row>
    <row r="115" spans="2:8">
      <c r="B115" s="641" t="s">
        <v>266</v>
      </c>
      <c r="C115" s="643">
        <v>98</v>
      </c>
      <c r="D115" t="s">
        <v>378</v>
      </c>
      <c r="E115" s="641">
        <v>300000</v>
      </c>
      <c r="F115" s="641">
        <v>300</v>
      </c>
      <c r="G115" s="642" t="s">
        <v>1112</v>
      </c>
      <c r="H115" s="641">
        <v>20</v>
      </c>
    </row>
    <row r="116" spans="2:8">
      <c r="B116" s="641" t="s">
        <v>267</v>
      </c>
      <c r="C116" s="643">
        <v>99</v>
      </c>
      <c r="D116" t="s">
        <v>379</v>
      </c>
      <c r="E116" s="641">
        <v>300000</v>
      </c>
      <c r="F116" s="641">
        <v>300</v>
      </c>
      <c r="G116" s="642" t="s">
        <v>1112</v>
      </c>
      <c r="H116" s="641">
        <v>20</v>
      </c>
    </row>
  </sheetData>
  <autoFilter ref="B5:H116" xr:uid="{00000000-0009-0000-0000-000009000000}"/>
  <phoneticPr fontId="1"/>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AR31"/>
  <sheetViews>
    <sheetView showGridLines="0" view="pageBreakPreview" zoomScaleNormal="100" zoomScaleSheetLayoutView="100" workbookViewId="0"/>
  </sheetViews>
  <sheetFormatPr defaultColWidth="9" defaultRowHeight="13"/>
  <cols>
    <col min="1" max="1" width="0.5" style="587" customWidth="1"/>
    <col min="2" max="2" width="3.25" style="587" customWidth="1"/>
    <col min="3" max="4" width="3.08203125" style="587" customWidth="1"/>
    <col min="5" max="5" width="3" style="587" customWidth="1"/>
    <col min="6" max="8" width="3.25" style="587" customWidth="1"/>
    <col min="9" max="9" width="3.58203125" style="587" customWidth="1"/>
    <col min="10" max="10" width="3.08203125" style="587" customWidth="1"/>
    <col min="11" max="11" width="4.25" style="587" customWidth="1"/>
    <col min="12" max="12" width="6.25" style="587" customWidth="1"/>
    <col min="13" max="13" width="3.08203125" style="587" customWidth="1"/>
    <col min="14" max="14" width="3.75" style="587" customWidth="1"/>
    <col min="15" max="15" width="3.25" style="587" customWidth="1"/>
    <col min="16" max="17" width="2.75" style="587" customWidth="1"/>
    <col min="18" max="18" width="3.58203125" style="587" customWidth="1"/>
    <col min="19" max="22" width="3.25" style="587" customWidth="1"/>
    <col min="23" max="23" width="3.58203125" style="587" customWidth="1"/>
    <col min="24" max="24" width="3.08203125" style="587" customWidth="1"/>
    <col min="25" max="25" width="2.58203125" style="587" customWidth="1"/>
    <col min="26" max="26" width="2.75" style="587" customWidth="1"/>
    <col min="27" max="27" width="2.58203125" style="587" customWidth="1"/>
    <col min="28" max="28" width="0.5" style="587" customWidth="1"/>
    <col min="29" max="29" width="8.25" style="53" customWidth="1"/>
    <col min="30" max="30" width="14.6640625" style="326" customWidth="1"/>
    <col min="31" max="31" width="14.4140625" style="302" customWidth="1"/>
    <col min="32" max="32" width="16.9140625" style="302" customWidth="1"/>
    <col min="33" max="33" width="3.08203125" style="302" customWidth="1"/>
    <col min="34" max="34" width="3.08203125" style="303" customWidth="1"/>
    <col min="35" max="35" width="14.9140625" style="304" customWidth="1"/>
    <col min="36" max="37" width="6.75" style="304" customWidth="1"/>
    <col min="38" max="38" width="5.08203125" style="304" customWidth="1"/>
    <col min="39" max="39" width="5.08203125" style="53" customWidth="1"/>
    <col min="40" max="40" width="5.08203125" style="587" customWidth="1"/>
    <col min="41" max="16384" width="9" style="587"/>
  </cols>
  <sheetData>
    <row r="1" spans="1:39" s="608" customFormat="1">
      <c r="A1" s="169"/>
      <c r="B1" s="169"/>
      <c r="C1" s="169"/>
      <c r="D1" s="612"/>
      <c r="E1" s="612"/>
      <c r="F1" s="612"/>
      <c r="G1" s="612"/>
      <c r="H1" s="612"/>
      <c r="I1" s="612"/>
      <c r="J1" s="612"/>
      <c r="K1" s="612"/>
      <c r="L1" s="612"/>
      <c r="M1" s="612"/>
      <c r="N1" s="612"/>
      <c r="O1" s="169"/>
      <c r="P1" s="169"/>
      <c r="Q1" s="169"/>
      <c r="R1" s="169"/>
      <c r="S1" s="169"/>
      <c r="T1" s="169"/>
      <c r="U1" s="169"/>
      <c r="V1" s="169"/>
      <c r="W1" s="169"/>
      <c r="X1" s="169"/>
      <c r="Y1" s="169"/>
      <c r="Z1" s="169"/>
      <c r="AA1" s="169"/>
      <c r="AC1" s="53"/>
      <c r="AD1" s="326"/>
      <c r="AE1" s="302"/>
      <c r="AF1" s="302"/>
      <c r="AG1" s="302"/>
      <c r="AH1" s="303"/>
      <c r="AI1" s="304"/>
      <c r="AJ1" s="304"/>
      <c r="AK1" s="304"/>
      <c r="AL1" s="304"/>
      <c r="AM1" s="53"/>
    </row>
    <row r="2" spans="1:39" s="608" customFormat="1">
      <c r="A2" s="169"/>
      <c r="B2" s="613"/>
      <c r="C2" s="1410"/>
      <c r="D2" s="1410"/>
      <c r="E2" s="1410"/>
      <c r="F2" s="1410"/>
      <c r="G2" s="1410"/>
      <c r="H2" s="1410"/>
      <c r="J2" s="1416" t="s">
        <v>1155</v>
      </c>
      <c r="K2" s="1417"/>
      <c r="L2" s="1417"/>
      <c r="M2" s="1417"/>
      <c r="N2" s="1418"/>
      <c r="O2" s="1411" t="s">
        <v>1156</v>
      </c>
      <c r="P2" s="1411"/>
      <c r="Q2" s="1411"/>
      <c r="R2" s="1411"/>
      <c r="S2" s="1411"/>
      <c r="T2" s="1411"/>
      <c r="U2" s="1411"/>
      <c r="V2" s="1411"/>
      <c r="W2" s="1411"/>
      <c r="X2" s="1411"/>
      <c r="Y2" s="1411"/>
      <c r="Z2" s="169"/>
      <c r="AA2" s="169"/>
      <c r="AC2" s="53"/>
      <c r="AD2" s="326"/>
      <c r="AE2" s="302"/>
      <c r="AF2" s="302"/>
      <c r="AG2" s="302"/>
      <c r="AH2" s="303"/>
      <c r="AI2" s="304"/>
      <c r="AJ2" s="304"/>
      <c r="AK2" s="304"/>
      <c r="AL2" s="304"/>
      <c r="AM2" s="53"/>
    </row>
    <row r="3" spans="1:39" s="608" customFormat="1">
      <c r="A3" s="169"/>
      <c r="B3" s="169" t="s">
        <v>1157</v>
      </c>
      <c r="C3" s="169"/>
      <c r="D3" s="611"/>
      <c r="E3" s="611"/>
      <c r="F3" s="611"/>
      <c r="G3" s="611"/>
      <c r="H3" s="611"/>
      <c r="I3" s="611"/>
      <c r="J3" s="614" t="str">
        <f>IFERROR(VLOOKUP(B3,B6:Y26,9,FALSE),"")</f>
        <v/>
      </c>
      <c r="K3" s="1412" t="str">
        <f>IFERROR(VLOOKUP(B3,B6:Y26,10,FALSE),"")</f>
        <v/>
      </c>
      <c r="L3" s="1413"/>
      <c r="M3" s="1413"/>
      <c r="N3" s="1414"/>
      <c r="O3" s="1415" t="str">
        <f>IFERROR(VLOOKUP(B3,B6:AF26,31,FALSE),"")</f>
        <v/>
      </c>
      <c r="P3" s="1415"/>
      <c r="Q3" s="1415"/>
      <c r="R3" s="1415"/>
      <c r="S3" s="1415"/>
      <c r="T3" s="1415"/>
      <c r="U3" s="1415"/>
      <c r="V3" s="1415"/>
      <c r="W3" s="1415"/>
      <c r="X3" s="1415"/>
      <c r="Y3" s="1415"/>
      <c r="Z3" s="169"/>
      <c r="AA3" s="169"/>
      <c r="AC3" s="53"/>
      <c r="AD3" s="326"/>
      <c r="AE3" s="302"/>
      <c r="AF3" s="302"/>
      <c r="AG3" s="302"/>
      <c r="AH3" s="303"/>
      <c r="AI3" s="304"/>
      <c r="AJ3" s="304"/>
      <c r="AK3" s="304"/>
      <c r="AL3" s="304"/>
      <c r="AM3" s="53"/>
    </row>
    <row r="4" spans="1:39" s="311" customFormat="1">
      <c r="A4" s="617"/>
      <c r="B4" s="618">
        <v>1</v>
      </c>
      <c r="C4" s="618">
        <v>2</v>
      </c>
      <c r="D4" s="618">
        <v>3</v>
      </c>
      <c r="E4" s="618">
        <v>4</v>
      </c>
      <c r="F4" s="618">
        <v>5</v>
      </c>
      <c r="G4" s="618">
        <v>6</v>
      </c>
      <c r="H4" s="618">
        <v>7</v>
      </c>
      <c r="I4" s="618">
        <v>8</v>
      </c>
      <c r="J4" s="618">
        <v>9</v>
      </c>
      <c r="K4" s="618">
        <v>10</v>
      </c>
      <c r="L4" s="618">
        <v>11</v>
      </c>
      <c r="M4" s="618">
        <v>12</v>
      </c>
      <c r="N4" s="618">
        <v>13</v>
      </c>
      <c r="O4" s="618">
        <v>14</v>
      </c>
      <c r="P4" s="618">
        <v>15</v>
      </c>
      <c r="Q4" s="618">
        <v>16</v>
      </c>
      <c r="R4" s="618">
        <v>17</v>
      </c>
      <c r="S4" s="618">
        <v>18</v>
      </c>
      <c r="T4" s="618">
        <v>19</v>
      </c>
      <c r="U4" s="618">
        <v>20</v>
      </c>
      <c r="V4" s="618">
        <v>21</v>
      </c>
      <c r="W4" s="618">
        <v>22</v>
      </c>
      <c r="X4" s="618">
        <v>23</v>
      </c>
      <c r="Y4" s="618">
        <v>24</v>
      </c>
      <c r="Z4" s="618">
        <v>25</v>
      </c>
      <c r="AA4" s="618">
        <v>26</v>
      </c>
      <c r="AB4" s="618">
        <v>27</v>
      </c>
      <c r="AC4" s="618">
        <v>28</v>
      </c>
      <c r="AD4" s="618">
        <v>29</v>
      </c>
      <c r="AE4" s="618">
        <v>30</v>
      </c>
      <c r="AF4" s="618">
        <v>31</v>
      </c>
      <c r="AG4" s="302"/>
      <c r="AH4" s="303"/>
      <c r="AI4" s="304"/>
      <c r="AJ4" s="304"/>
      <c r="AK4" s="304"/>
      <c r="AL4" s="304"/>
    </row>
    <row r="5" spans="1:39" ht="19.5" customHeight="1">
      <c r="B5" s="180" t="s">
        <v>506</v>
      </c>
      <c r="C5" s="709" t="s">
        <v>504</v>
      </c>
      <c r="D5" s="709"/>
      <c r="E5" s="709"/>
      <c r="F5" s="709"/>
      <c r="G5" s="709"/>
      <c r="H5" s="709"/>
      <c r="I5" s="709" t="s">
        <v>505</v>
      </c>
      <c r="J5" s="709"/>
      <c r="K5" s="709"/>
      <c r="L5" s="709"/>
      <c r="M5" s="709"/>
      <c r="N5" s="709"/>
      <c r="O5" s="922"/>
      <c r="P5" s="922"/>
      <c r="Q5" s="922"/>
      <c r="R5" s="922"/>
      <c r="S5" s="922"/>
      <c r="T5" s="922"/>
      <c r="U5" s="922"/>
      <c r="V5" s="922"/>
      <c r="W5" s="922"/>
      <c r="X5" s="922"/>
      <c r="Y5" s="922"/>
      <c r="Z5" s="922"/>
      <c r="AA5" s="922"/>
      <c r="AD5" s="615" t="s">
        <v>1153</v>
      </c>
      <c r="AE5" s="615" t="s">
        <v>1158</v>
      </c>
      <c r="AF5" s="615" t="s">
        <v>1159</v>
      </c>
      <c r="AI5" s="610" t="s">
        <v>1154</v>
      </c>
    </row>
    <row r="6" spans="1:39" ht="19.5" customHeight="1">
      <c r="B6" s="181" t="str">
        <f>IF(申請書!B29="○","○","")</f>
        <v/>
      </c>
      <c r="C6" s="1031" t="s">
        <v>251</v>
      </c>
      <c r="D6" s="1036" t="s">
        <v>1059</v>
      </c>
      <c r="E6" s="1037"/>
      <c r="F6" s="1037"/>
      <c r="G6" s="1037"/>
      <c r="H6" s="1038"/>
      <c r="I6" s="1023" t="s">
        <v>929</v>
      </c>
      <c r="J6" s="50" t="s">
        <v>927</v>
      </c>
      <c r="K6" s="18" t="s">
        <v>925</v>
      </c>
      <c r="L6" s="589"/>
      <c r="M6" s="589"/>
      <c r="N6" s="590"/>
      <c r="O6" s="18" t="s">
        <v>254</v>
      </c>
      <c r="P6" s="18"/>
      <c r="Q6" s="18"/>
      <c r="R6" s="18"/>
      <c r="S6" s="18"/>
      <c r="T6" s="18"/>
      <c r="U6" s="18"/>
      <c r="V6" s="18"/>
      <c r="W6" s="18"/>
      <c r="X6" s="18"/>
      <c r="Y6" s="18"/>
      <c r="Z6" s="1008" t="s">
        <v>247</v>
      </c>
      <c r="AA6" s="1008"/>
      <c r="AD6" s="616">
        <f>100000000/(1/2)</f>
        <v>200000000</v>
      </c>
      <c r="AE6" s="616">
        <f>IF(資金計画!$I$12="該当",SUM(資金計画!$M$19:$M$20),SUM(資金計画!$M$21:$M$22))</f>
        <v>0</v>
      </c>
      <c r="AF6" s="616">
        <f>IF(AE6&lt;AD6,AE6,AD6)</f>
        <v>0</v>
      </c>
      <c r="AI6" s="609">
        <v>1000000</v>
      </c>
    </row>
    <row r="7" spans="1:39" ht="19.5" customHeight="1">
      <c r="B7" s="181" t="str">
        <f>IF(申請書!B30="○","○","")</f>
        <v/>
      </c>
      <c r="C7" s="1032"/>
      <c r="D7" s="1039"/>
      <c r="E7" s="1040"/>
      <c r="F7" s="1040"/>
      <c r="G7" s="1040"/>
      <c r="H7" s="1041"/>
      <c r="I7" s="1024"/>
      <c r="J7" s="50" t="s">
        <v>993</v>
      </c>
      <c r="K7" s="566" t="s">
        <v>1071</v>
      </c>
      <c r="L7" s="589"/>
      <c r="M7" s="589"/>
      <c r="N7" s="590"/>
      <c r="O7" s="173" t="s">
        <v>952</v>
      </c>
      <c r="P7" s="18"/>
      <c r="Q7" s="18"/>
      <c r="R7" s="18"/>
      <c r="S7" s="18"/>
      <c r="T7" s="18"/>
      <c r="U7" s="18"/>
      <c r="V7" s="18"/>
      <c r="W7" s="18"/>
      <c r="X7" s="18"/>
      <c r="Y7" s="18"/>
      <c r="Z7" s="1008"/>
      <c r="AA7" s="1008"/>
      <c r="AD7" s="616">
        <f>100000000/(3/4)</f>
        <v>133333333.33333333</v>
      </c>
      <c r="AE7" s="616">
        <f>IF(資金計画!$I$12="該当",SUM(資金計画!$M$19:$M$20),SUM(資金計画!$M$21:$M$22))</f>
        <v>0</v>
      </c>
      <c r="AF7" s="616">
        <f>IF(AE7&lt;AD7,AE7,AD7)</f>
        <v>0</v>
      </c>
      <c r="AI7" s="609">
        <v>1000000</v>
      </c>
    </row>
    <row r="8" spans="1:39" ht="19.5" customHeight="1">
      <c r="B8" s="181" t="str">
        <f>IF(申請書!B31="○","○","")</f>
        <v/>
      </c>
      <c r="C8" s="1032"/>
      <c r="D8" s="1039"/>
      <c r="E8" s="1040"/>
      <c r="F8" s="1040"/>
      <c r="G8" s="1040"/>
      <c r="H8" s="1041"/>
      <c r="I8" s="1024"/>
      <c r="J8" s="50" t="s">
        <v>1075</v>
      </c>
      <c r="K8" s="173" t="s">
        <v>1072</v>
      </c>
      <c r="L8" s="589"/>
      <c r="M8" s="589"/>
      <c r="N8" s="590"/>
      <c r="O8" s="173" t="s">
        <v>952</v>
      </c>
      <c r="P8" s="18"/>
      <c r="Q8" s="18"/>
      <c r="R8" s="18"/>
      <c r="S8" s="18"/>
      <c r="T8" s="18"/>
      <c r="U8" s="18"/>
      <c r="V8" s="18"/>
      <c r="W8" s="18"/>
      <c r="X8" s="18"/>
      <c r="Y8" s="18"/>
      <c r="Z8" s="1008"/>
      <c r="AA8" s="1008"/>
      <c r="AD8" s="616">
        <f>100000000/(3/4)</f>
        <v>133333333.33333333</v>
      </c>
      <c r="AE8" s="616">
        <f>IF(資金計画!$I$12="該当",SUM(資金計画!$M$19:$M$20),SUM(資金計画!$M$21:$M$22))</f>
        <v>0</v>
      </c>
      <c r="AF8" s="616">
        <f t="shared" ref="AF8:AF26" si="0">IF(AE8&lt;AD8,AE8,AD8)</f>
        <v>0</v>
      </c>
      <c r="AI8" s="609">
        <v>1000000</v>
      </c>
    </row>
    <row r="9" spans="1:39" ht="19.5" customHeight="1">
      <c r="B9" s="181" t="str">
        <f>IF(申請書!B32="○","○","")</f>
        <v/>
      </c>
      <c r="C9" s="1032"/>
      <c r="D9" s="1039"/>
      <c r="E9" s="1040"/>
      <c r="F9" s="1040"/>
      <c r="G9" s="1040"/>
      <c r="H9" s="1041"/>
      <c r="I9" s="1025"/>
      <c r="J9" s="50" t="s">
        <v>1103</v>
      </c>
      <c r="K9" s="297" t="s">
        <v>998</v>
      </c>
      <c r="L9" s="448"/>
      <c r="M9" s="448"/>
      <c r="N9" s="449"/>
      <c r="O9" s="297" t="s">
        <v>1021</v>
      </c>
      <c r="P9" s="18"/>
      <c r="Q9" s="18"/>
      <c r="R9" s="18"/>
      <c r="S9" s="18"/>
      <c r="T9" s="18"/>
      <c r="U9" s="18"/>
      <c r="V9" s="18"/>
      <c r="W9" s="18"/>
      <c r="X9" s="18"/>
      <c r="Y9" s="18"/>
      <c r="Z9" s="1008"/>
      <c r="AA9" s="1008"/>
      <c r="AD9" s="616">
        <f>100000000/(3/4)</f>
        <v>133333333.33333333</v>
      </c>
      <c r="AE9" s="616">
        <f>IF(資金計画!$I$12="該当",SUM(資金計画!$M$19:$M$20),SUM(資金計画!$M$21:$M$22))</f>
        <v>0</v>
      </c>
      <c r="AF9" s="616">
        <f t="shared" si="0"/>
        <v>0</v>
      </c>
      <c r="AI9" s="609">
        <v>1000000</v>
      </c>
    </row>
    <row r="10" spans="1:39" ht="19.5" customHeight="1">
      <c r="B10" s="181" t="str">
        <f>IF(申請書!B33="○","○","")</f>
        <v/>
      </c>
      <c r="C10" s="1032"/>
      <c r="D10" s="1039"/>
      <c r="E10" s="1040"/>
      <c r="F10" s="1040"/>
      <c r="G10" s="1040"/>
      <c r="H10" s="1041"/>
      <c r="I10" s="1026" t="s">
        <v>930</v>
      </c>
      <c r="J10" s="182" t="s">
        <v>928</v>
      </c>
      <c r="K10" s="182" t="s">
        <v>926</v>
      </c>
      <c r="L10" s="597"/>
      <c r="M10" s="597"/>
      <c r="N10" s="598"/>
      <c r="O10" s="83" t="s">
        <v>1151</v>
      </c>
      <c r="P10" s="83"/>
      <c r="Q10" s="83"/>
      <c r="R10" s="83"/>
      <c r="S10" s="83"/>
      <c r="T10" s="83"/>
      <c r="U10" s="83"/>
      <c r="V10" s="83"/>
      <c r="W10" s="83"/>
      <c r="X10" s="83"/>
      <c r="Y10" s="18"/>
      <c r="Z10" s="1008"/>
      <c r="AA10" s="1008"/>
      <c r="AD10" s="616">
        <f>30000000/(2/3)</f>
        <v>45000000</v>
      </c>
      <c r="AE10" s="616">
        <f>IF(資金計画!$I$12="該当",SUM(資金計画!$M$19:$M$20),SUM(資金計画!$M$21:$M$22))</f>
        <v>0</v>
      </c>
      <c r="AF10" s="616">
        <f t="shared" si="0"/>
        <v>0</v>
      </c>
      <c r="AI10" s="609">
        <v>1000000</v>
      </c>
    </row>
    <row r="11" spans="1:39" ht="19.5" customHeight="1">
      <c r="B11" s="181" t="str">
        <f>IF(申請書!B34="○","○","")</f>
        <v/>
      </c>
      <c r="C11" s="1032"/>
      <c r="D11" s="1039"/>
      <c r="E11" s="1040"/>
      <c r="F11" s="1040"/>
      <c r="G11" s="1040"/>
      <c r="H11" s="1041"/>
      <c r="I11" s="1027"/>
      <c r="J11" s="182" t="s">
        <v>994</v>
      </c>
      <c r="K11" s="488" t="s">
        <v>1073</v>
      </c>
      <c r="L11" s="597"/>
      <c r="M11" s="597"/>
      <c r="N11" s="598"/>
      <c r="O11" s="297" t="s">
        <v>952</v>
      </c>
      <c r="P11" s="83"/>
      <c r="Q11" s="83"/>
      <c r="R11" s="83"/>
      <c r="S11" s="83"/>
      <c r="T11" s="83"/>
      <c r="U11" s="83"/>
      <c r="V11" s="83"/>
      <c r="W11" s="83"/>
      <c r="X11" s="83"/>
      <c r="Y11" s="18"/>
      <c r="Z11" s="1008"/>
      <c r="AA11" s="1008"/>
      <c r="AD11" s="616">
        <f t="shared" ref="AD11:AD25" si="1">100000000/(3/4)</f>
        <v>133333333.33333333</v>
      </c>
      <c r="AE11" s="616">
        <f>IF(資金計画!$I$12="該当",SUM(資金計画!$M$19:$M$20),SUM(資金計画!$M$21:$M$22))</f>
        <v>0</v>
      </c>
      <c r="AF11" s="616">
        <f t="shared" si="0"/>
        <v>0</v>
      </c>
      <c r="AI11" s="609">
        <v>1000000</v>
      </c>
    </row>
    <row r="12" spans="1:39" ht="19.5" customHeight="1">
      <c r="B12" s="181" t="str">
        <f>IF(申請書!B35="○","○","")</f>
        <v/>
      </c>
      <c r="C12" s="1032"/>
      <c r="D12" s="1039"/>
      <c r="E12" s="1040"/>
      <c r="F12" s="1040"/>
      <c r="G12" s="1040"/>
      <c r="H12" s="1041"/>
      <c r="I12" s="1027"/>
      <c r="J12" s="182" t="s">
        <v>995</v>
      </c>
      <c r="K12" s="488" t="s">
        <v>1074</v>
      </c>
      <c r="L12" s="597"/>
      <c r="M12" s="597"/>
      <c r="N12" s="598"/>
      <c r="O12" s="297" t="s">
        <v>952</v>
      </c>
      <c r="P12" s="83"/>
      <c r="Q12" s="83"/>
      <c r="R12" s="83"/>
      <c r="S12" s="83"/>
      <c r="T12" s="83"/>
      <c r="U12" s="83"/>
      <c r="V12" s="83"/>
      <c r="W12" s="83"/>
      <c r="X12" s="83"/>
      <c r="Y12" s="18"/>
      <c r="Z12" s="1008"/>
      <c r="AA12" s="1008"/>
      <c r="AD12" s="616">
        <f t="shared" si="1"/>
        <v>133333333.33333333</v>
      </c>
      <c r="AE12" s="616">
        <f>IF(資金計画!$I$12="該当",SUM(資金計画!$M$19:$M$20),SUM(資金計画!$M$21:$M$22))</f>
        <v>0</v>
      </c>
      <c r="AF12" s="616">
        <f t="shared" si="0"/>
        <v>0</v>
      </c>
      <c r="AI12" s="609">
        <v>1000000</v>
      </c>
    </row>
    <row r="13" spans="1:39" ht="19.5" customHeight="1">
      <c r="B13" s="181" t="str">
        <f>IF(申請書!B36="○","○","")</f>
        <v/>
      </c>
      <c r="C13" s="1032"/>
      <c r="D13" s="1039"/>
      <c r="E13" s="1040"/>
      <c r="F13" s="1040"/>
      <c r="G13" s="1040"/>
      <c r="H13" s="1041"/>
      <c r="I13" s="1028"/>
      <c r="J13" s="182" t="s">
        <v>1076</v>
      </c>
      <c r="K13" s="488" t="s">
        <v>997</v>
      </c>
      <c r="L13" s="599"/>
      <c r="M13" s="599"/>
      <c r="N13" s="600"/>
      <c r="O13" s="601" t="s">
        <v>1152</v>
      </c>
      <c r="P13" s="591"/>
      <c r="Q13" s="591"/>
      <c r="R13" s="591"/>
      <c r="S13" s="591"/>
      <c r="T13" s="591"/>
      <c r="U13" s="591"/>
      <c r="V13" s="591"/>
      <c r="W13" s="591"/>
      <c r="X13" s="591"/>
      <c r="Y13" s="579"/>
      <c r="Z13" s="1008"/>
      <c r="AA13" s="1008"/>
      <c r="AD13" s="616">
        <f>100000000/(4/5)</f>
        <v>125000000</v>
      </c>
      <c r="AE13" s="616">
        <f>IF(資金計画!$I$12="該当",SUM(資金計画!$M$19:$M$20),SUM(資金計画!$M$21:$M$22))</f>
        <v>0</v>
      </c>
      <c r="AF13" s="616">
        <f t="shared" si="0"/>
        <v>0</v>
      </c>
      <c r="AI13" s="609">
        <v>1000000</v>
      </c>
    </row>
    <row r="14" spans="1:39" ht="19.5" customHeight="1">
      <c r="B14" s="181" t="str">
        <f>IF(申請書!B37="○","○","")</f>
        <v/>
      </c>
      <c r="C14" s="1033"/>
      <c r="D14" s="1042"/>
      <c r="E14" s="1043"/>
      <c r="F14" s="1043"/>
      <c r="G14" s="1043"/>
      <c r="H14" s="1044"/>
      <c r="I14" s="602" t="s">
        <v>1133</v>
      </c>
      <c r="J14" s="603" t="s">
        <v>1160</v>
      </c>
      <c r="K14" s="619" t="s">
        <v>1161</v>
      </c>
      <c r="L14" s="604"/>
      <c r="M14" s="604"/>
      <c r="N14" s="605"/>
      <c r="O14" s="601" t="s">
        <v>1135</v>
      </c>
      <c r="P14" s="606"/>
      <c r="Q14" s="606"/>
      <c r="R14" s="606"/>
      <c r="S14" s="606"/>
      <c r="T14" s="606"/>
      <c r="U14" s="606"/>
      <c r="V14" s="606"/>
      <c r="W14" s="606"/>
      <c r="X14" s="606"/>
      <c r="Y14" s="580"/>
      <c r="Z14" s="1008"/>
      <c r="AA14" s="1008"/>
      <c r="AD14" s="616">
        <f>100000000/(4/5)</f>
        <v>125000000</v>
      </c>
      <c r="AE14" s="616">
        <f>IF(資金計画!$I$12="該当",SUM(資金計画!$M$19:$M$20),SUM(資金計画!$M$21:$M$22))</f>
        <v>0</v>
      </c>
      <c r="AF14" s="616">
        <f t="shared" si="0"/>
        <v>0</v>
      </c>
      <c r="AI14" s="609">
        <v>1000000</v>
      </c>
    </row>
    <row r="15" spans="1:39" ht="19.5" customHeight="1">
      <c r="B15" s="181" t="str">
        <f>IF(申請書!B38="○","○","")</f>
        <v/>
      </c>
      <c r="C15" s="924" t="s">
        <v>252</v>
      </c>
      <c r="D15" s="924" t="s">
        <v>443</v>
      </c>
      <c r="E15" s="925"/>
      <c r="F15" s="925"/>
      <c r="G15" s="925"/>
      <c r="H15" s="926"/>
      <c r="I15" s="1031" t="s">
        <v>1043</v>
      </c>
      <c r="J15" s="558" t="s">
        <v>1044</v>
      </c>
      <c r="K15" s="559" t="s">
        <v>1048</v>
      </c>
      <c r="L15" s="559"/>
      <c r="M15" s="559"/>
      <c r="N15" s="560"/>
      <c r="O15" s="18" t="s">
        <v>255</v>
      </c>
      <c r="P15" s="18"/>
      <c r="Q15" s="18"/>
      <c r="R15" s="18"/>
      <c r="S15" s="18"/>
      <c r="T15" s="18"/>
      <c r="U15" s="18"/>
      <c r="V15" s="18"/>
      <c r="W15" s="18"/>
      <c r="X15" s="18"/>
      <c r="Y15" s="18"/>
      <c r="Z15" s="1008"/>
      <c r="AA15" s="1008"/>
      <c r="AD15" s="616">
        <f>100000000/(2/3)</f>
        <v>150000000</v>
      </c>
      <c r="AE15" s="616">
        <f>IF(資金計画!$I$12="該当",SUM(資金計画!$M$19:$M$20),SUM(資金計画!$M$21:$M$22))</f>
        <v>0</v>
      </c>
      <c r="AF15" s="616">
        <f t="shared" si="0"/>
        <v>0</v>
      </c>
      <c r="AI15" s="609">
        <v>1000000</v>
      </c>
    </row>
    <row r="16" spans="1:39" ht="19.5" customHeight="1">
      <c r="B16" s="181" t="str">
        <f>IF(申請書!B39="○","○","")</f>
        <v/>
      </c>
      <c r="C16" s="927"/>
      <c r="D16" s="927"/>
      <c r="E16" s="928"/>
      <c r="F16" s="928"/>
      <c r="G16" s="928"/>
      <c r="H16" s="929"/>
      <c r="I16" s="1032"/>
      <c r="J16" s="558" t="s">
        <v>1045</v>
      </c>
      <c r="K16" s="559" t="s">
        <v>1047</v>
      </c>
      <c r="L16" s="559"/>
      <c r="M16" s="559"/>
      <c r="N16" s="560"/>
      <c r="O16" s="18" t="s">
        <v>1050</v>
      </c>
      <c r="P16" s="18"/>
      <c r="Q16" s="18"/>
      <c r="R16" s="18"/>
      <c r="S16" s="18"/>
      <c r="T16" s="18"/>
      <c r="U16" s="18"/>
      <c r="V16" s="18"/>
      <c r="W16" s="18"/>
      <c r="X16" s="18"/>
      <c r="Y16" s="18"/>
      <c r="Z16" s="1008"/>
      <c r="AA16" s="1008"/>
      <c r="AD16" s="616">
        <f t="shared" si="1"/>
        <v>133333333.33333333</v>
      </c>
      <c r="AE16" s="616">
        <f>IF(資金計画!$I$12="該当",SUM(資金計画!$M$19:$M$20),SUM(資金計画!$M$21:$M$22))</f>
        <v>0</v>
      </c>
      <c r="AF16" s="616">
        <f t="shared" si="0"/>
        <v>0</v>
      </c>
      <c r="AI16" s="609">
        <v>1000000</v>
      </c>
    </row>
    <row r="17" spans="2:44" ht="19.5" customHeight="1">
      <c r="B17" s="181" t="str">
        <f>IF(申請書!B40="○","○","")</f>
        <v/>
      </c>
      <c r="C17" s="927"/>
      <c r="D17" s="930"/>
      <c r="E17" s="931"/>
      <c r="F17" s="931"/>
      <c r="G17" s="931"/>
      <c r="H17" s="932"/>
      <c r="I17" s="1033"/>
      <c r="J17" s="557" t="s">
        <v>1046</v>
      </c>
      <c r="K17" s="555" t="s">
        <v>1049</v>
      </c>
      <c r="L17" s="555"/>
      <c r="M17" s="555"/>
      <c r="N17" s="556"/>
      <c r="O17" s="18" t="s">
        <v>1050</v>
      </c>
      <c r="P17" s="18"/>
      <c r="Q17" s="18"/>
      <c r="R17" s="18"/>
      <c r="S17" s="18"/>
      <c r="T17" s="18"/>
      <c r="U17" s="18"/>
      <c r="V17" s="18"/>
      <c r="W17" s="18"/>
      <c r="X17" s="18"/>
      <c r="Y17" s="18"/>
      <c r="Z17" s="1008"/>
      <c r="AA17" s="1008"/>
      <c r="AD17" s="616">
        <f t="shared" si="1"/>
        <v>133333333.33333333</v>
      </c>
      <c r="AE17" s="616">
        <f>IF(資金計画!$I$12="該当",SUM(資金計画!$M$19:$M$20),SUM(資金計画!$M$21:$M$22))</f>
        <v>0</v>
      </c>
      <c r="AF17" s="616">
        <f t="shared" si="0"/>
        <v>0</v>
      </c>
      <c r="AI17" s="609">
        <v>1000000</v>
      </c>
    </row>
    <row r="18" spans="2:44" ht="19.5" customHeight="1">
      <c r="B18" s="181"/>
      <c r="C18" s="927"/>
      <c r="D18" s="154" t="s">
        <v>923</v>
      </c>
      <c r="E18" s="18"/>
      <c r="F18" s="18"/>
      <c r="G18" s="18"/>
      <c r="H18" s="18"/>
      <c r="I18" s="18"/>
      <c r="J18" s="18"/>
      <c r="K18" s="18"/>
      <c r="L18" s="18"/>
      <c r="M18" s="18"/>
      <c r="N18" s="113" t="b">
        <f>IF(OR(B15="○",B16="○",B17="○"),(COUNTIF(D19:O19,"○")))</f>
        <v>0</v>
      </c>
      <c r="O18" s="791"/>
      <c r="P18" s="792"/>
      <c r="Q18" s="792"/>
      <c r="R18" s="792"/>
      <c r="S18" s="792"/>
      <c r="T18" s="792"/>
      <c r="U18" s="792"/>
      <c r="V18" s="792"/>
      <c r="W18" s="792"/>
      <c r="X18" s="792"/>
      <c r="Y18" s="793"/>
      <c r="Z18" s="1008"/>
      <c r="AA18" s="1008"/>
      <c r="AD18" s="616"/>
      <c r="AE18" s="616"/>
      <c r="AF18" s="616"/>
      <c r="AI18" s="609"/>
    </row>
    <row r="19" spans="2:44" ht="19.5" customHeight="1">
      <c r="B19" s="181"/>
      <c r="C19" s="930"/>
      <c r="D19" s="183"/>
      <c r="E19" s="16" t="s">
        <v>244</v>
      </c>
      <c r="F19" s="83" t="s">
        <v>511</v>
      </c>
      <c r="G19" s="83"/>
      <c r="H19" s="83"/>
      <c r="I19" s="83"/>
      <c r="J19" s="83"/>
      <c r="L19" s="183"/>
      <c r="M19" s="16" t="s">
        <v>245</v>
      </c>
      <c r="N19" s="182" t="s">
        <v>512</v>
      </c>
      <c r="O19" s="84"/>
      <c r="S19" s="183"/>
      <c r="T19" s="16" t="s">
        <v>246</v>
      </c>
      <c r="U19" s="182" t="s">
        <v>513</v>
      </c>
      <c r="V19" s="83"/>
      <c r="W19" s="84"/>
      <c r="X19" s="84"/>
      <c r="Y19" s="85"/>
      <c r="Z19" s="1008"/>
      <c r="AA19" s="1008"/>
      <c r="AD19" s="616"/>
      <c r="AE19" s="616"/>
      <c r="AF19" s="616"/>
      <c r="AI19" s="609"/>
    </row>
    <row r="20" spans="2:44" ht="19.5" customHeight="1">
      <c r="B20" s="181" t="str">
        <f>IF(申請書!B43="○","○","")</f>
        <v/>
      </c>
      <c r="C20" s="924" t="s">
        <v>253</v>
      </c>
      <c r="D20" s="924" t="s">
        <v>441</v>
      </c>
      <c r="E20" s="925"/>
      <c r="F20" s="925"/>
      <c r="G20" s="925"/>
      <c r="H20" s="926"/>
      <c r="I20" s="1031" t="s">
        <v>1051</v>
      </c>
      <c r="J20" s="541" t="s">
        <v>1162</v>
      </c>
      <c r="K20" s="620" t="s">
        <v>1163</v>
      </c>
      <c r="L20" s="22"/>
      <c r="M20" s="22"/>
      <c r="N20" s="12"/>
      <c r="O20" s="22" t="s">
        <v>255</v>
      </c>
      <c r="P20" s="22"/>
      <c r="Q20" s="22"/>
      <c r="R20" s="22"/>
      <c r="S20" s="22"/>
      <c r="T20" s="22"/>
      <c r="U20" s="22"/>
      <c r="V20" s="22"/>
      <c r="W20" s="22"/>
      <c r="X20" s="22"/>
      <c r="Y20" s="22"/>
      <c r="Z20" s="1008"/>
      <c r="AA20" s="1008"/>
      <c r="AD20" s="616">
        <f>100000000/(2/3)</f>
        <v>150000000</v>
      </c>
      <c r="AE20" s="616">
        <f>IF(資金計画!$I$12="該当",SUM(資金計画!$M$19:$M$20),SUM(資金計画!$M$21:$M$22))</f>
        <v>0</v>
      </c>
      <c r="AF20" s="616">
        <f t="shared" si="0"/>
        <v>0</v>
      </c>
      <c r="AI20" s="609">
        <v>1000000</v>
      </c>
    </row>
    <row r="21" spans="2:44" ht="19.5" customHeight="1">
      <c r="B21" s="181" t="str">
        <f>IF(申請書!B44="○","○","")</f>
        <v/>
      </c>
      <c r="C21" s="927"/>
      <c r="D21" s="927"/>
      <c r="E21" s="928"/>
      <c r="F21" s="928"/>
      <c r="G21" s="928"/>
      <c r="H21" s="929"/>
      <c r="I21" s="1032"/>
      <c r="J21" s="16" t="s">
        <v>1164</v>
      </c>
      <c r="K21" s="621" t="s">
        <v>1165</v>
      </c>
      <c r="L21" s="18"/>
      <c r="M21" s="18"/>
      <c r="N21" s="17"/>
      <c r="O21" s="18" t="s">
        <v>1050</v>
      </c>
      <c r="P21" s="22"/>
      <c r="Q21" s="22"/>
      <c r="R21" s="22"/>
      <c r="S21" s="22"/>
      <c r="T21" s="22"/>
      <c r="U21" s="22"/>
      <c r="V21" s="22"/>
      <c r="W21" s="22"/>
      <c r="X21" s="22"/>
      <c r="Y21" s="22"/>
      <c r="Z21" s="1008"/>
      <c r="AA21" s="1008"/>
      <c r="AD21" s="616">
        <f t="shared" si="1"/>
        <v>133333333.33333333</v>
      </c>
      <c r="AE21" s="616">
        <f>IF(資金計画!$I$12="該当",SUM(資金計画!$M$19:$M$20),SUM(資金計画!$M$21:$M$22))</f>
        <v>0</v>
      </c>
      <c r="AF21" s="616">
        <f t="shared" si="0"/>
        <v>0</v>
      </c>
      <c r="AI21" s="609">
        <v>1000000</v>
      </c>
    </row>
    <row r="22" spans="2:44" ht="19.5" customHeight="1">
      <c r="B22" s="181" t="str">
        <f>IF(申請書!B45="○","○","")</f>
        <v/>
      </c>
      <c r="C22" s="930"/>
      <c r="D22" s="930"/>
      <c r="E22" s="931"/>
      <c r="F22" s="931"/>
      <c r="G22" s="931"/>
      <c r="H22" s="932"/>
      <c r="I22" s="1033"/>
      <c r="J22" s="14" t="s">
        <v>1166</v>
      </c>
      <c r="K22" s="622" t="s">
        <v>1167</v>
      </c>
      <c r="L22" s="588"/>
      <c r="M22" s="588"/>
      <c r="N22" s="15"/>
      <c r="O22" s="18" t="s">
        <v>1050</v>
      </c>
      <c r="P22" s="22"/>
      <c r="Q22" s="22"/>
      <c r="R22" s="22"/>
      <c r="S22" s="22"/>
      <c r="T22" s="22"/>
      <c r="U22" s="22"/>
      <c r="V22" s="22"/>
      <c r="W22" s="22"/>
      <c r="X22" s="22"/>
      <c r="Y22" s="22"/>
      <c r="Z22" s="1008"/>
      <c r="AA22" s="1008"/>
      <c r="AD22" s="616">
        <f t="shared" si="1"/>
        <v>133333333.33333333</v>
      </c>
      <c r="AE22" s="616">
        <f>IF(資金計画!$I$12="該当",SUM(資金計画!$M$19:$M$20),SUM(資金計画!$M$21:$M$22))</f>
        <v>0</v>
      </c>
      <c r="AF22" s="616">
        <f t="shared" si="0"/>
        <v>0</v>
      </c>
      <c r="AI22" s="609">
        <v>1000000</v>
      </c>
    </row>
    <row r="23" spans="2:44" ht="19.5" customHeight="1">
      <c r="B23" s="181" t="str">
        <f>IF(申請書!B46="○","○","")</f>
        <v/>
      </c>
      <c r="C23" s="938" t="s">
        <v>442</v>
      </c>
      <c r="D23" s="1058" t="s">
        <v>144</v>
      </c>
      <c r="E23" s="1058"/>
      <c r="F23" s="1058"/>
      <c r="G23" s="1058"/>
      <c r="H23" s="1058"/>
      <c r="I23" s="1058" t="s">
        <v>1055</v>
      </c>
      <c r="J23" s="18" t="s">
        <v>1168</v>
      </c>
      <c r="K23" s="621" t="s">
        <v>1169</v>
      </c>
      <c r="L23" s="18"/>
      <c r="M23" s="18"/>
      <c r="N23" s="15"/>
      <c r="O23" s="588" t="s">
        <v>255</v>
      </c>
      <c r="P23" s="18"/>
      <c r="Q23" s="18"/>
      <c r="R23" s="18"/>
      <c r="S23" s="18"/>
      <c r="T23" s="18"/>
      <c r="U23" s="18"/>
      <c r="V23" s="18"/>
      <c r="W23" s="18"/>
      <c r="X23" s="18"/>
      <c r="Y23" s="592"/>
      <c r="Z23" s="1008"/>
      <c r="AA23" s="1008"/>
      <c r="AD23" s="616">
        <f>100000000/(2/3)</f>
        <v>150000000</v>
      </c>
      <c r="AE23" s="616">
        <f>IF(資金計画!$I$12="該当",SUM(資金計画!$M$19:$M$20),SUM(資金計画!$M$21:$M$22))</f>
        <v>0</v>
      </c>
      <c r="AF23" s="616">
        <f t="shared" si="0"/>
        <v>0</v>
      </c>
      <c r="AI23" s="609">
        <v>1000000</v>
      </c>
    </row>
    <row r="24" spans="2:44" ht="19.5" customHeight="1">
      <c r="B24" s="181" t="str">
        <f>IF(申請書!B47="○","○","")</f>
        <v/>
      </c>
      <c r="C24" s="938"/>
      <c r="D24" s="1058"/>
      <c r="E24" s="1058"/>
      <c r="F24" s="1058"/>
      <c r="G24" s="1058"/>
      <c r="H24" s="1058"/>
      <c r="I24" s="1058"/>
      <c r="J24" s="16" t="s">
        <v>1170</v>
      </c>
      <c r="K24" s="621" t="s">
        <v>1171</v>
      </c>
      <c r="L24" s="18"/>
      <c r="M24" s="18"/>
      <c r="N24" s="18"/>
      <c r="O24" s="16" t="s">
        <v>1050</v>
      </c>
      <c r="P24" s="18"/>
      <c r="Q24" s="18"/>
      <c r="R24" s="18"/>
      <c r="S24" s="18"/>
      <c r="T24" s="18"/>
      <c r="U24" s="18"/>
      <c r="V24" s="18"/>
      <c r="W24" s="18"/>
      <c r="X24" s="18"/>
      <c r="Y24" s="592"/>
      <c r="Z24" s="1008"/>
      <c r="AA24" s="1008"/>
      <c r="AD24" s="616">
        <f t="shared" si="1"/>
        <v>133333333.33333333</v>
      </c>
      <c r="AE24" s="616">
        <f>IF(資金計画!$I$12="該当",SUM(資金計画!$M$19:$M$20),SUM(資金計画!$M$21:$M$22))</f>
        <v>0</v>
      </c>
      <c r="AF24" s="616">
        <f t="shared" si="0"/>
        <v>0</v>
      </c>
      <c r="AI24" s="609">
        <v>1000000</v>
      </c>
    </row>
    <row r="25" spans="2:44" ht="19.5" customHeight="1">
      <c r="B25" s="181" t="str">
        <f>IF(申請書!B48="○","○","")</f>
        <v/>
      </c>
      <c r="C25" s="939"/>
      <c r="D25" s="1058"/>
      <c r="E25" s="1058"/>
      <c r="F25" s="1058"/>
      <c r="G25" s="1058"/>
      <c r="H25" s="1058"/>
      <c r="I25" s="1058"/>
      <c r="J25" s="16" t="s">
        <v>1172</v>
      </c>
      <c r="K25" s="621" t="s">
        <v>1167</v>
      </c>
      <c r="L25" s="18"/>
      <c r="M25" s="18"/>
      <c r="N25" s="18"/>
      <c r="O25" s="88" t="s">
        <v>1050</v>
      </c>
      <c r="P25" s="18"/>
      <c r="Q25" s="18"/>
      <c r="R25" s="18"/>
      <c r="S25" s="18"/>
      <c r="T25" s="18"/>
      <c r="U25" s="18"/>
      <c r="V25" s="18"/>
      <c r="W25" s="18"/>
      <c r="X25" s="18"/>
      <c r="Y25" s="592"/>
      <c r="Z25" s="1008"/>
      <c r="AA25" s="1008"/>
      <c r="AD25" s="616">
        <f t="shared" si="1"/>
        <v>133333333.33333333</v>
      </c>
      <c r="AE25" s="616">
        <f>IF(資金計画!$I$12="該当",SUM(資金計画!$M$19:$M$20),SUM(資金計画!$M$21:$M$22))</f>
        <v>0</v>
      </c>
      <c r="AF25" s="616">
        <f t="shared" si="0"/>
        <v>0</v>
      </c>
      <c r="AI25" s="609">
        <v>1000000</v>
      </c>
    </row>
    <row r="26" spans="2:44" ht="33" customHeight="1">
      <c r="B26" s="181" t="str">
        <f>IF(申請書!B49="○","○","")</f>
        <v/>
      </c>
      <c r="C26" s="593" t="s">
        <v>1136</v>
      </c>
      <c r="D26" s="1045" t="s">
        <v>1138</v>
      </c>
      <c r="E26" s="1046"/>
      <c r="F26" s="1046"/>
      <c r="G26" s="1046"/>
      <c r="H26" s="1047"/>
      <c r="I26" s="594" t="s">
        <v>1137</v>
      </c>
      <c r="J26" s="623" t="s">
        <v>1173</v>
      </c>
      <c r="K26" s="1419" t="s">
        <v>1174</v>
      </c>
      <c r="L26" s="1419"/>
      <c r="M26" s="1419"/>
      <c r="N26" s="1420"/>
      <c r="O26" s="595" t="s">
        <v>1140</v>
      </c>
      <c r="P26" s="596"/>
      <c r="Q26" s="596"/>
      <c r="R26" s="596"/>
      <c r="S26" s="596"/>
      <c r="T26" s="596"/>
      <c r="U26" s="596"/>
      <c r="V26" s="596"/>
      <c r="W26" s="596"/>
      <c r="X26" s="596"/>
      <c r="Y26" s="581"/>
      <c r="Z26" s="1008" t="s">
        <v>1139</v>
      </c>
      <c r="AA26" s="1008"/>
      <c r="AD26" s="616">
        <f>200000000/(3/4)</f>
        <v>266666666.66666666</v>
      </c>
      <c r="AE26" s="616">
        <f>IF(資金計画!$I$12="該当",SUM(資金計画!$M$19:$M$20),SUM(資金計画!$M$21:$M$22))</f>
        <v>0</v>
      </c>
      <c r="AF26" s="616">
        <f t="shared" si="0"/>
        <v>0</v>
      </c>
      <c r="AI26" s="609">
        <v>100000000</v>
      </c>
    </row>
    <row r="27" spans="2:44" ht="17.5" customHeight="1">
      <c r="B27" s="788" t="str">
        <f>IF(AA27=1,"","　※事業区分／申請者区分（該当区分をＡ～Ｅの中から１つのみ選択して「○」印をつけてください")</f>
        <v>　※事業区分／申請者区分（該当区分をＡ～Ｅの中から１つのみ選択して「○」印をつけてください</v>
      </c>
      <c r="C27" s="789"/>
      <c r="D27" s="789"/>
      <c r="E27" s="789"/>
      <c r="F27" s="789"/>
      <c r="G27" s="789"/>
      <c r="H27" s="789"/>
      <c r="I27" s="789"/>
      <c r="J27" s="789"/>
      <c r="K27" s="789"/>
      <c r="L27" s="789"/>
      <c r="M27" s="789"/>
      <c r="N27" s="789"/>
      <c r="O27" s="789"/>
      <c r="P27" s="789"/>
      <c r="Q27" s="789"/>
      <c r="R27" s="789"/>
      <c r="S27" s="789"/>
      <c r="T27" s="789"/>
      <c r="U27" s="789"/>
      <c r="V27" s="789"/>
      <c r="W27" s="789"/>
      <c r="X27" s="789"/>
      <c r="Y27" s="789"/>
      <c r="Z27" s="790"/>
      <c r="AA27" s="324">
        <f>COUNTIF(B6:B26,"○")</f>
        <v>0</v>
      </c>
      <c r="AF27" s="302" t="s">
        <v>514</v>
      </c>
    </row>
    <row r="28" spans="2:44" s="4" customFormat="1" ht="15" hidden="1" customHeight="1">
      <c r="B28" s="912" t="str">
        <f>IF(B20&lt;&gt;0," ",IF(AND(B20=0,AA28&gt;=1),"　※［イノベーション］区分の支援テーマの選択不備又は新事業活動区分の選択不備",""))</f>
        <v xml:space="preserve"> </v>
      </c>
      <c r="C28" s="913"/>
      <c r="D28" s="913"/>
      <c r="E28" s="913"/>
      <c r="F28" s="913"/>
      <c r="G28" s="913"/>
      <c r="H28" s="913"/>
      <c r="I28" s="913"/>
      <c r="J28" s="913"/>
      <c r="K28" s="913"/>
      <c r="L28" s="913"/>
      <c r="M28" s="913"/>
      <c r="N28" s="913"/>
      <c r="O28" s="913"/>
      <c r="P28" s="913"/>
      <c r="Q28" s="913"/>
      <c r="R28" s="913"/>
      <c r="S28" s="913"/>
      <c r="T28" s="913"/>
      <c r="U28" s="913"/>
      <c r="V28" s="913"/>
      <c r="W28" s="913"/>
      <c r="X28" s="913"/>
      <c r="Y28" s="913"/>
      <c r="Z28" s="913"/>
      <c r="AA28" s="324" t="e">
        <f>COUNTIF(#REF!,"○")</f>
        <v>#REF!</v>
      </c>
      <c r="AC28" s="111"/>
      <c r="AD28" s="111"/>
      <c r="AE28" s="344"/>
      <c r="AF28" s="344" t="s">
        <v>516</v>
      </c>
      <c r="AG28" s="344"/>
      <c r="AH28" s="345"/>
      <c r="AI28" s="344"/>
      <c r="AJ28" s="344"/>
      <c r="AK28" s="344"/>
      <c r="AL28" s="344"/>
      <c r="AM28" s="111"/>
    </row>
    <row r="29" spans="2:44" s="4" customFormat="1" ht="15" hidden="1" customHeight="1">
      <c r="B29" s="912" t="str">
        <f>IF(B15&lt;&gt;0," ",IF(AND(B15=0,AA29&gt;=1),"　※［ＤＸ推進］区分の技術分野の選択不備",""))</f>
        <v xml:space="preserve"> </v>
      </c>
      <c r="C29" s="913"/>
      <c r="D29" s="913"/>
      <c r="E29" s="913"/>
      <c r="F29" s="913"/>
      <c r="G29" s="913"/>
      <c r="H29" s="913"/>
      <c r="I29" s="913"/>
      <c r="J29" s="913"/>
      <c r="K29" s="913"/>
      <c r="L29" s="913"/>
      <c r="M29" s="913"/>
      <c r="N29" s="913"/>
      <c r="O29" s="913"/>
      <c r="P29" s="913"/>
      <c r="Q29" s="913"/>
      <c r="R29" s="913"/>
      <c r="S29" s="913"/>
      <c r="T29" s="913"/>
      <c r="U29" s="913"/>
      <c r="V29" s="913"/>
      <c r="W29" s="913"/>
      <c r="X29" s="913"/>
      <c r="Y29" s="913"/>
      <c r="Z29" s="913"/>
      <c r="AA29" s="324">
        <f>COUNTIF(D19:O19,"○")</f>
        <v>0</v>
      </c>
      <c r="AC29" s="111"/>
      <c r="AD29" s="111"/>
      <c r="AE29" s="344"/>
      <c r="AF29" s="344" t="s">
        <v>515</v>
      </c>
      <c r="AG29" s="344"/>
      <c r="AH29" s="345"/>
      <c r="AI29" s="344"/>
      <c r="AJ29" s="344"/>
      <c r="AK29" s="344"/>
      <c r="AL29" s="344"/>
      <c r="AM29" s="111"/>
    </row>
    <row r="30" spans="2:44" ht="15" hidden="1" customHeight="1">
      <c r="AN30" s="53"/>
      <c r="AO30" s="53"/>
      <c r="AP30" s="53"/>
      <c r="AQ30" s="53"/>
      <c r="AR30" s="53"/>
    </row>
    <row r="31" spans="2:44" ht="25.5" customHeight="1">
      <c r="AN31" s="53"/>
      <c r="AO31" s="53"/>
      <c r="AP31" s="53"/>
      <c r="AQ31" s="53"/>
      <c r="AR31" s="53"/>
    </row>
  </sheetData>
  <sheetProtection selectLockedCells="1"/>
  <mergeCells count="29">
    <mergeCell ref="B28:Z28"/>
    <mergeCell ref="B29:Z29"/>
    <mergeCell ref="D26:H26"/>
    <mergeCell ref="K26:N26"/>
    <mergeCell ref="D23:H25"/>
    <mergeCell ref="I23:I25"/>
    <mergeCell ref="Z26:AA26"/>
    <mergeCell ref="B27:Z27"/>
    <mergeCell ref="C5:H5"/>
    <mergeCell ref="I5:N5"/>
    <mergeCell ref="O5:AA5"/>
    <mergeCell ref="C6:C14"/>
    <mergeCell ref="D6:H14"/>
    <mergeCell ref="I6:I9"/>
    <mergeCell ref="Z6:AA25"/>
    <mergeCell ref="I10:I13"/>
    <mergeCell ref="C15:C19"/>
    <mergeCell ref="D15:H17"/>
    <mergeCell ref="I15:I17"/>
    <mergeCell ref="O18:Y18"/>
    <mergeCell ref="C20:C22"/>
    <mergeCell ref="D20:H22"/>
    <mergeCell ref="I20:I22"/>
    <mergeCell ref="C23:C25"/>
    <mergeCell ref="C2:H2"/>
    <mergeCell ref="O2:Y2"/>
    <mergeCell ref="K3:N3"/>
    <mergeCell ref="O3:Y3"/>
    <mergeCell ref="J2:N2"/>
  </mergeCells>
  <phoneticPr fontId="1"/>
  <conditionalFormatting sqref="B6:B26">
    <cfRule type="expression" dxfId="36" priority="85">
      <formula>AND($B$6="",$B$7="",$B$8="",$B$9="",$B$10="",$B$11="",$B$12="",$B$13="",$B$15="",$B$16="",$B$17="",$B$20="",$B$21="",$B$22="",$B$23="",$B$24="",$B$25="")</formula>
    </cfRule>
  </conditionalFormatting>
  <conditionalFormatting sqref="B28 B27:Z27">
    <cfRule type="containsText" dxfId="35" priority="169" operator="containsText" text="　※事業区分／申請者区分（該当区分をＡ～Ｅの中から１つのみ選択して「○」印をつけてください">
      <formula>NOT(ISERROR(SEARCH("　※事業区分／申請者区分（該当区分をＡ～Ｅの中から１つのみ選択して「○」印をつけてください",B27)))</formula>
    </cfRule>
  </conditionalFormatting>
  <conditionalFormatting sqref="B29">
    <cfRule type="containsText" dxfId="34" priority="74" operator="containsText" text="　※事業区分／申請者区分（該当区分をＡ～Ｅの中から１つのみ選択して「○」印をつけてください">
      <formula>NOT(ISERROR(SEARCH("　※事業区分／申請者区分（該当区分をＡ～Ｅの中から１つのみ選択して「○」印をつけてください",B29)))</formula>
    </cfRule>
  </conditionalFormatting>
  <conditionalFormatting sqref="B28:Z28">
    <cfRule type="containsText" dxfId="33" priority="71" operator="containsText" text="　※［イノベーション］区分の支援テーマの選択不備又は新事業活動区分の選択不備">
      <formula>NOT(ISERROR(SEARCH("　※［イノベーション］区分の支援テーマの選択不備又は新事業活動区分の選択不備",B28)))</formula>
    </cfRule>
  </conditionalFormatting>
  <conditionalFormatting sqref="B28:Z29">
    <cfRule type="containsText" dxfId="32" priority="73" operator="containsText" text="　※支援テーマの選択不備又は新事業活動区分は選択できません">
      <formula>NOT(ISERROR(SEARCH("　※支援テーマの選択不備又は新事業活動区分は選択できません",B28)))</formula>
    </cfRule>
  </conditionalFormatting>
  <conditionalFormatting sqref="B29:Z29">
    <cfRule type="containsText" dxfId="31" priority="72" operator="containsText" text="　※［ＤＸ推進］区分の技術分野の選択不備">
      <formula>NOT(ISERROR(SEARCH("　※［ＤＸ推進］区分の技術分野の選択不備",B29)))</formula>
    </cfRule>
  </conditionalFormatting>
  <conditionalFormatting sqref="C6:D6">
    <cfRule type="expression" dxfId="30" priority="82">
      <formula>OR($B$6="○",$B$7="○",$B$8="○",$B$9="○",$B$10="○",$B$11="○",$B$12="○",$B$13="○")</formula>
    </cfRule>
  </conditionalFormatting>
  <conditionalFormatting sqref="C15:D15">
    <cfRule type="expression" dxfId="29" priority="84">
      <formula>OR($B$15="○",$B$16="○",$B$17="○")</formula>
    </cfRule>
  </conditionalFormatting>
  <conditionalFormatting sqref="C20:I22">
    <cfRule type="expression" dxfId="28" priority="7">
      <formula>OR($B$20="○",$B$21="○",$B$22="○")</formula>
    </cfRule>
  </conditionalFormatting>
  <conditionalFormatting sqref="C23:I23">
    <cfRule type="expression" dxfId="27" priority="68">
      <formula>OR($B$23="○",$B$24="○",$B$25="○")</formula>
    </cfRule>
  </conditionalFormatting>
  <conditionalFormatting sqref="D19:J19">
    <cfRule type="expression" dxfId="26" priority="76">
      <formula>$D$19="○"</formula>
    </cfRule>
  </conditionalFormatting>
  <conditionalFormatting sqref="I6:I8">
    <cfRule type="expression" dxfId="25" priority="81">
      <formula>OR($B$6="○",$B$7="○",$B$8="○",$B$9="○")</formula>
    </cfRule>
  </conditionalFormatting>
  <conditionalFormatting sqref="I10:I14">
    <cfRule type="expression" dxfId="24" priority="31">
      <formula>OR($B$10="○",$B$11="○",$B$12="○",$B$13="○")</formula>
    </cfRule>
  </conditionalFormatting>
  <conditionalFormatting sqref="I15">
    <cfRule type="expression" dxfId="23" priority="83">
      <formula>OR($B$15="○",$B$16="○",$B$17="○")</formula>
    </cfRule>
  </conditionalFormatting>
  <conditionalFormatting sqref="J6:N6">
    <cfRule type="expression" dxfId="22" priority="29">
      <formula>OR($B$6="○")</formula>
    </cfRule>
  </conditionalFormatting>
  <conditionalFormatting sqref="J7:N7">
    <cfRule type="expression" dxfId="21" priority="30">
      <formula>OR($B$7="○")</formula>
    </cfRule>
  </conditionalFormatting>
  <conditionalFormatting sqref="J8:N8">
    <cfRule type="expression" dxfId="20" priority="12">
      <formula>OR($B$8="○")</formula>
    </cfRule>
  </conditionalFormatting>
  <conditionalFormatting sqref="J9:N9">
    <cfRule type="expression" dxfId="19" priority="15">
      <formula>OR($B$9="○")</formula>
    </cfRule>
  </conditionalFormatting>
  <conditionalFormatting sqref="J10:N10">
    <cfRule type="expression" dxfId="18" priority="28">
      <formula>OR($B$10="○")</formula>
    </cfRule>
  </conditionalFormatting>
  <conditionalFormatting sqref="J11:N11">
    <cfRule type="expression" dxfId="17" priority="11">
      <formula>OR($B$11="○")</formula>
    </cfRule>
  </conditionalFormatting>
  <conditionalFormatting sqref="J12:N12">
    <cfRule type="expression" dxfId="16" priority="27">
      <formula>OR($B$12="○")</formula>
    </cfRule>
  </conditionalFormatting>
  <conditionalFormatting sqref="J13:N13 J14">
    <cfRule type="expression" dxfId="15" priority="14">
      <formula>OR($B$13="○")</formula>
    </cfRule>
  </conditionalFormatting>
  <conditionalFormatting sqref="J15:N15">
    <cfRule type="expression" dxfId="14" priority="10">
      <formula>OR($B$15="○")</formula>
    </cfRule>
  </conditionalFormatting>
  <conditionalFormatting sqref="J16:N16">
    <cfRule type="expression" dxfId="13" priority="9">
      <formula>OR($B$16="○")</formula>
    </cfRule>
  </conditionalFormatting>
  <conditionalFormatting sqref="J17:N17">
    <cfRule type="expression" dxfId="12" priority="8">
      <formula>OR($B$17="○")</formula>
    </cfRule>
  </conditionalFormatting>
  <conditionalFormatting sqref="J20:N20">
    <cfRule type="expression" dxfId="11" priority="6">
      <formula>$B$20="○"</formula>
    </cfRule>
  </conditionalFormatting>
  <conditionalFormatting sqref="J21:N21">
    <cfRule type="expression" dxfId="10" priority="5">
      <formula>$B$21="○"</formula>
    </cfRule>
  </conditionalFormatting>
  <conditionalFormatting sqref="J22:N22">
    <cfRule type="expression" dxfId="9" priority="4">
      <formula>$B$22="○"</formula>
    </cfRule>
  </conditionalFormatting>
  <conditionalFormatting sqref="J23:N23">
    <cfRule type="expression" dxfId="8" priority="3">
      <formula>$B$23="○"</formula>
    </cfRule>
  </conditionalFormatting>
  <conditionalFormatting sqref="J24:N24">
    <cfRule type="expression" dxfId="7" priority="2">
      <formula>$B$24="○"</formula>
    </cfRule>
  </conditionalFormatting>
  <conditionalFormatting sqref="J25:N25 J26">
    <cfRule type="expression" dxfId="6" priority="1">
      <formula>$B$25="○"</formula>
    </cfRule>
  </conditionalFormatting>
  <conditionalFormatting sqref="L19:O19 W19:Y19">
    <cfRule type="expression" dxfId="5" priority="180">
      <formula>$L$19="○"</formula>
    </cfRule>
  </conditionalFormatting>
  <conditionalFormatting sqref="O18:Y18">
    <cfRule type="containsText" dxfId="4" priority="75" operator="containsText" text="技術区分の選択不備 ①～③の中から１つ選択ください">
      <formula>NOT(ISERROR(SEARCH("技術区分の選択不備 ①～③の中から１つ選択ください",O18)))</formula>
    </cfRule>
    <cfRule type="containsText" dxfId="3" priority="77" operator="containsText" text="テーマの選択不備 ①～⑨の中から１つ選択ください">
      <formula>NOT(ISERROR(SEARCH("テーマの選択不備 ①～⑨の中から１つ選択ください",O18)))</formula>
    </cfRule>
    <cfRule type="containsText" dxfId="2" priority="78" operator="containsText" text="テーマの選択不備 ①～⑱の中から１つ選択ください">
      <formula>NOT(ISERROR(SEARCH("テーマの選択不備 ①～⑱の中から１つ選択ください",O18)))</formula>
    </cfRule>
  </conditionalFormatting>
  <conditionalFormatting sqref="S19 L19 D19">
    <cfRule type="expression" dxfId="1" priority="182">
      <formula>AND(OR($B$15="○",$B$16="○",$B$17="○"),$D$19="",$S$19="",$L$19="",#REF!="")</formula>
    </cfRule>
  </conditionalFormatting>
  <conditionalFormatting sqref="S19:V19">
    <cfRule type="expression" dxfId="0" priority="181">
      <formula>$S$19="○"</formula>
    </cfRule>
  </conditionalFormatting>
  <dataValidations count="1">
    <dataValidation type="list" allowBlank="1" showInputMessage="1" showErrorMessage="1" promptTitle="ＤＸ推進区分を選択した場合は分野を１つ選択し「〇」印付与" prompt="①～③の技術分野の中からドロップダウンリスト ▼で「〇」印を１つ選択してください" sqref="L19 S19 D19" xr:uid="{00000000-0002-0000-0A00-000000000000}">
      <formula1>#REF!</formula1>
    </dataValidation>
  </dataValidations>
  <pageMargins left="0.9055118110236221" right="0.51181102362204722" top="0.55118110236220474" bottom="0.35433070866141736" header="0.31496062992125984" footer="0.11811023622047245"/>
  <pageSetup paperSize="9" scale="62" orientation="portrait" useFirstPageNumber="1" r:id="rId1"/>
  <headerFooter>
    <oddFooter>&amp;C1 -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locked="0" defaultSize="0" autoFill="0" autoLine="0" autoPict="0">
                <anchor moveWithCells="1">
                  <from>
                    <xdr:col>8</xdr:col>
                    <xdr:colOff>31750</xdr:colOff>
                    <xdr:row>31</xdr:row>
                    <xdr:rowOff>0</xdr:rowOff>
                  </from>
                  <to>
                    <xdr:col>9</xdr:col>
                    <xdr:colOff>38100</xdr:colOff>
                    <xdr:row>32</xdr:row>
                    <xdr:rowOff>88900</xdr:rowOff>
                  </to>
                </anchor>
              </controlPr>
            </control>
          </mc:Choice>
        </mc:AlternateContent>
        <mc:AlternateContent xmlns:mc="http://schemas.openxmlformats.org/markup-compatibility/2006">
          <mc:Choice Requires="x14">
            <control shapeId="14338" r:id="rId5" name="Check Box 2">
              <controlPr locked="0" defaultSize="0" autoFill="0" autoLine="0" autoPict="0">
                <anchor moveWithCells="1">
                  <from>
                    <xdr:col>25</xdr:col>
                    <xdr:colOff>209550</xdr:colOff>
                    <xdr:row>31</xdr:row>
                    <xdr:rowOff>0</xdr:rowOff>
                  </from>
                  <to>
                    <xdr:col>28</xdr:col>
                    <xdr:colOff>57150</xdr:colOff>
                    <xdr:row>32</xdr:row>
                    <xdr:rowOff>44450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theme="1" tint="4.9989318521683403E-2"/>
  </sheetPr>
  <dimension ref="A1:FM5"/>
  <sheetViews>
    <sheetView workbookViewId="0"/>
  </sheetViews>
  <sheetFormatPr defaultColWidth="8.75" defaultRowHeight="13"/>
  <cols>
    <col min="1" max="1" width="2.83203125" style="1" customWidth="1"/>
    <col min="2" max="2" width="3.25" style="1" customWidth="1"/>
    <col min="3" max="4" width="4.58203125" style="1" customWidth="1"/>
    <col min="5" max="16" width="8.75" style="1"/>
    <col min="17" max="17" width="16.4140625" style="1" customWidth="1"/>
    <col min="18" max="18" width="9.75" style="1" bestFit="1" customWidth="1"/>
    <col min="19" max="29" width="8.75" style="1"/>
    <col min="30" max="30" width="12.33203125" style="1" customWidth="1"/>
    <col min="31" max="41" width="8.75" style="1"/>
    <col min="42" max="42" width="9.08203125" style="1" customWidth="1"/>
    <col min="43" max="113" width="8.75" style="1"/>
    <col min="114" max="114" width="9.33203125" style="1" customWidth="1"/>
    <col min="115" max="117" width="8.75" style="1"/>
    <col min="118" max="118" width="10.83203125" style="1" bestFit="1" customWidth="1"/>
    <col min="119" max="119" width="10.33203125" style="1" bestFit="1" customWidth="1"/>
    <col min="120" max="16384" width="8.75" style="1"/>
  </cols>
  <sheetData>
    <row r="1" spans="1:169" s="372" customFormat="1" ht="19">
      <c r="A1" s="371" t="s">
        <v>979</v>
      </c>
    </row>
    <row r="2" spans="1:169" ht="27.4" customHeight="1" thickBot="1">
      <c r="C2" s="445" t="s">
        <v>921</v>
      </c>
      <c r="D2" s="61"/>
      <c r="E2" s="61"/>
      <c r="F2" s="61"/>
      <c r="G2" s="61"/>
      <c r="H2" s="61"/>
      <c r="I2" s="61"/>
      <c r="J2" s="61"/>
      <c r="K2" s="61"/>
      <c r="L2" s="61"/>
      <c r="M2" s="61"/>
      <c r="P2" s="455" t="s">
        <v>946</v>
      </c>
      <c r="Q2" s="455" t="s">
        <v>1013</v>
      </c>
      <c r="R2" s="455" t="s">
        <v>1013</v>
      </c>
      <c r="S2" s="455" t="s">
        <v>1013</v>
      </c>
      <c r="T2" s="455" t="s">
        <v>1013</v>
      </c>
      <c r="U2" s="455" t="s">
        <v>1013</v>
      </c>
      <c r="DQ2" s="455" t="s">
        <v>946</v>
      </c>
      <c r="DR2" s="455" t="s">
        <v>946</v>
      </c>
      <c r="DS2" s="455" t="s">
        <v>946</v>
      </c>
      <c r="DU2" s="455" t="s">
        <v>946</v>
      </c>
    </row>
    <row r="3" spans="1:169" s="373" customFormat="1" ht="172.15" customHeight="1">
      <c r="A3" s="373" t="s">
        <v>610</v>
      </c>
      <c r="B3" s="374" t="s">
        <v>611</v>
      </c>
      <c r="C3" s="375" t="s">
        <v>1119</v>
      </c>
      <c r="D3" s="375" t="s">
        <v>896</v>
      </c>
      <c r="E3" s="376" t="s">
        <v>612</v>
      </c>
      <c r="F3" s="376" t="s">
        <v>613</v>
      </c>
      <c r="G3" s="376" t="s">
        <v>614</v>
      </c>
      <c r="H3" s="376" t="s">
        <v>615</v>
      </c>
      <c r="I3" s="377" t="s">
        <v>616</v>
      </c>
      <c r="J3" s="378" t="s">
        <v>617</v>
      </c>
      <c r="K3" s="379" t="s">
        <v>618</v>
      </c>
      <c r="L3" s="378" t="s">
        <v>1105</v>
      </c>
      <c r="M3" s="378" t="s">
        <v>1104</v>
      </c>
      <c r="N3" s="380" t="s">
        <v>620</v>
      </c>
      <c r="O3" s="381" t="s">
        <v>621</v>
      </c>
      <c r="P3" s="381" t="s">
        <v>975</v>
      </c>
      <c r="Q3" s="385" t="s">
        <v>1018</v>
      </c>
      <c r="R3" s="385" t="s">
        <v>1017</v>
      </c>
      <c r="S3" s="385" t="s">
        <v>1016</v>
      </c>
      <c r="T3" s="385" t="s">
        <v>1015</v>
      </c>
      <c r="U3" s="490" t="s">
        <v>1014</v>
      </c>
      <c r="V3" s="381" t="s">
        <v>622</v>
      </c>
      <c r="W3" s="381" t="s">
        <v>623</v>
      </c>
      <c r="X3" s="381" t="s">
        <v>624</v>
      </c>
      <c r="Y3" s="381" t="s">
        <v>709</v>
      </c>
      <c r="Z3" s="376" t="s">
        <v>625</v>
      </c>
      <c r="AA3" s="376" t="s">
        <v>626</v>
      </c>
      <c r="AB3" s="376" t="s">
        <v>627</v>
      </c>
      <c r="AC3" s="376" t="s">
        <v>628</v>
      </c>
      <c r="AD3" s="394" t="s">
        <v>702</v>
      </c>
      <c r="AE3" s="383" t="s">
        <v>629</v>
      </c>
      <c r="AF3" s="381" t="s">
        <v>630</v>
      </c>
      <c r="AG3" s="383" t="s">
        <v>631</v>
      </c>
      <c r="AH3" s="383" t="s">
        <v>632</v>
      </c>
      <c r="AI3" s="384" t="s">
        <v>633</v>
      </c>
      <c r="AJ3" s="381" t="s">
        <v>634</v>
      </c>
      <c r="AK3" s="385" t="s">
        <v>635</v>
      </c>
      <c r="AL3" s="385" t="s">
        <v>636</v>
      </c>
      <c r="AM3" s="385" t="s">
        <v>637</v>
      </c>
      <c r="AN3" s="377" t="s">
        <v>638</v>
      </c>
      <c r="AO3" s="378" t="s">
        <v>639</v>
      </c>
      <c r="AP3" s="377" t="s">
        <v>640</v>
      </c>
      <c r="AQ3" s="377" t="s">
        <v>641</v>
      </c>
      <c r="AR3" s="378" t="s">
        <v>642</v>
      </c>
      <c r="AS3" s="377" t="s">
        <v>643</v>
      </c>
      <c r="AT3" s="377" t="s">
        <v>644</v>
      </c>
      <c r="AU3" s="378" t="s">
        <v>645</v>
      </c>
      <c r="AV3" s="377" t="s">
        <v>646</v>
      </c>
      <c r="AW3" s="395" t="s">
        <v>1025</v>
      </c>
      <c r="AX3" s="395" t="s">
        <v>703</v>
      </c>
      <c r="AY3" s="395" t="s">
        <v>1024</v>
      </c>
      <c r="AZ3" s="395" t="s">
        <v>704</v>
      </c>
      <c r="BA3" s="383" t="s">
        <v>706</v>
      </c>
      <c r="BB3" s="383" t="s">
        <v>707</v>
      </c>
      <c r="BC3" s="383" t="s">
        <v>708</v>
      </c>
      <c r="BD3" s="382" t="s">
        <v>721</v>
      </c>
      <c r="BE3" s="396" t="s">
        <v>705</v>
      </c>
      <c r="BF3" s="383" t="s">
        <v>647</v>
      </c>
      <c r="BG3" s="383" t="s">
        <v>710</v>
      </c>
      <c r="BH3" s="420" t="s">
        <v>897</v>
      </c>
      <c r="BI3" s="383" t="s">
        <v>648</v>
      </c>
      <c r="BJ3" s="380" t="s">
        <v>649</v>
      </c>
      <c r="BK3" s="383" t="s">
        <v>650</v>
      </c>
      <c r="BL3" s="383" t="s">
        <v>711</v>
      </c>
      <c r="BM3" s="380" t="s">
        <v>651</v>
      </c>
      <c r="BN3" s="383" t="s">
        <v>652</v>
      </c>
      <c r="BO3" s="383" t="s">
        <v>712</v>
      </c>
      <c r="BP3" s="380" t="s">
        <v>653</v>
      </c>
      <c r="BQ3" s="385" t="s">
        <v>654</v>
      </c>
      <c r="BR3" s="385" t="s">
        <v>655</v>
      </c>
      <c r="BS3" s="377" t="s">
        <v>656</v>
      </c>
      <c r="BT3" s="377" t="s">
        <v>657</v>
      </c>
      <c r="BU3" s="386" t="s">
        <v>658</v>
      </c>
      <c r="BV3" s="383" t="s">
        <v>659</v>
      </c>
      <c r="BW3" s="380" t="s">
        <v>660</v>
      </c>
      <c r="BX3" s="377" t="s">
        <v>661</v>
      </c>
      <c r="BY3" s="377" t="s">
        <v>662</v>
      </c>
      <c r="BZ3" s="386" t="s">
        <v>663</v>
      </c>
      <c r="CA3" s="383" t="s">
        <v>664</v>
      </c>
      <c r="CB3" s="380" t="s">
        <v>665</v>
      </c>
      <c r="CC3" s="377" t="s">
        <v>666</v>
      </c>
      <c r="CD3" s="377" t="s">
        <v>667</v>
      </c>
      <c r="CE3" s="381" t="s">
        <v>668</v>
      </c>
      <c r="CF3" s="383" t="s">
        <v>669</v>
      </c>
      <c r="CG3" s="380" t="s">
        <v>670</v>
      </c>
      <c r="CH3" s="377" t="s">
        <v>671</v>
      </c>
      <c r="CI3" s="377" t="s">
        <v>672</v>
      </c>
      <c r="CJ3" s="387" t="s">
        <v>673</v>
      </c>
      <c r="CK3" s="383" t="s">
        <v>674</v>
      </c>
      <c r="CL3" s="380" t="s">
        <v>675</v>
      </c>
      <c r="CM3" s="377" t="s">
        <v>676</v>
      </c>
      <c r="CN3" s="377" t="s">
        <v>677</v>
      </c>
      <c r="CO3" s="381" t="s">
        <v>678</v>
      </c>
      <c r="CP3" s="383" t="s">
        <v>679</v>
      </c>
      <c r="CQ3" s="380" t="s">
        <v>680</v>
      </c>
      <c r="CR3" s="377" t="s">
        <v>681</v>
      </c>
      <c r="CS3" s="377" t="s">
        <v>682</v>
      </c>
      <c r="CT3" s="388" t="s">
        <v>683</v>
      </c>
      <c r="CU3" s="383" t="s">
        <v>684</v>
      </c>
      <c r="CV3" s="380" t="s">
        <v>685</v>
      </c>
      <c r="CW3" s="377" t="s">
        <v>686</v>
      </c>
      <c r="CX3" s="377" t="s">
        <v>687</v>
      </c>
      <c r="CY3" s="388" t="s">
        <v>688</v>
      </c>
      <c r="CZ3" s="383" t="s">
        <v>689</v>
      </c>
      <c r="DA3" s="380" t="s">
        <v>690</v>
      </c>
      <c r="DB3" s="377" t="s">
        <v>691</v>
      </c>
      <c r="DC3" s="377" t="s">
        <v>692</v>
      </c>
      <c r="DD3" s="388" t="s">
        <v>693</v>
      </c>
      <c r="DE3" s="383" t="s">
        <v>694</v>
      </c>
      <c r="DF3" s="380" t="s">
        <v>695</v>
      </c>
      <c r="DG3" s="381" t="s">
        <v>713</v>
      </c>
      <c r="DH3" s="381" t="s">
        <v>714</v>
      </c>
      <c r="DI3" s="381" t="s">
        <v>715</v>
      </c>
      <c r="DJ3" s="381" t="s">
        <v>716</v>
      </c>
      <c r="DK3" s="381" t="s">
        <v>717</v>
      </c>
      <c r="DL3" s="381" t="s">
        <v>718</v>
      </c>
      <c r="DM3" s="397" t="s">
        <v>696</v>
      </c>
      <c r="DN3" s="398" t="s">
        <v>719</v>
      </c>
      <c r="DO3" s="398" t="s">
        <v>720</v>
      </c>
      <c r="DP3" s="397" t="s">
        <v>697</v>
      </c>
      <c r="DQ3" s="381" t="s">
        <v>976</v>
      </c>
      <c r="DR3" s="381" t="s">
        <v>977</v>
      </c>
      <c r="DS3" s="468" t="s">
        <v>978</v>
      </c>
      <c r="DT3" s="383" t="s">
        <v>722</v>
      </c>
      <c r="DU3" s="456" t="s">
        <v>974</v>
      </c>
      <c r="DV3" s="421"/>
      <c r="DW3" s="422"/>
      <c r="DX3" s="422"/>
      <c r="DY3" s="422"/>
      <c r="DZ3" s="423"/>
      <c r="EA3" s="423"/>
      <c r="EB3" s="424"/>
      <c r="EC3" s="425"/>
      <c r="ED3" s="525"/>
      <c r="EE3" s="425"/>
      <c r="EF3" s="424"/>
      <c r="EG3" s="426"/>
      <c r="EH3" s="422"/>
      <c r="EI3" s="427"/>
      <c r="EJ3" s="429"/>
      <c r="EK3" s="428"/>
      <c r="EL3" s="428"/>
      <c r="EM3" s="439"/>
      <c r="EN3" s="428"/>
      <c r="EO3" s="428"/>
      <c r="EP3" s="428"/>
      <c r="EQ3" s="428"/>
      <c r="ER3" s="428"/>
      <c r="ES3" s="428"/>
      <c r="ET3" s="440"/>
      <c r="EU3" s="428"/>
      <c r="EV3" s="428"/>
      <c r="EW3" s="428"/>
      <c r="EX3" s="428"/>
      <c r="EY3" s="428"/>
      <c r="EZ3" s="428"/>
      <c r="FA3" s="429"/>
      <c r="FB3" s="429"/>
      <c r="FC3" s="429"/>
      <c r="FD3" s="429"/>
      <c r="FE3" s="429"/>
      <c r="FF3" s="429"/>
      <c r="FG3" s="441"/>
      <c r="FH3" s="430"/>
      <c r="FI3" s="430"/>
      <c r="FJ3" s="430"/>
      <c r="FK3" s="431"/>
      <c r="FL3" s="432" t="s">
        <v>1196</v>
      </c>
      <c r="FM3" s="380" t="s">
        <v>1207</v>
      </c>
    </row>
    <row r="4" spans="1:169" s="400" customFormat="1" ht="43.5" customHeight="1">
      <c r="C4" s="400" t="s">
        <v>1200</v>
      </c>
      <c r="E4" s="633">
        <f>申請書!E78</f>
        <v>0</v>
      </c>
      <c r="F4" s="633">
        <f>申請書!U78</f>
        <v>0</v>
      </c>
      <c r="G4" s="633">
        <f>申請書!E79</f>
        <v>0</v>
      </c>
      <c r="H4" s="633">
        <f>申請書!E81</f>
        <v>0</v>
      </c>
      <c r="I4" s="633">
        <f>申請書!B23</f>
        <v>0</v>
      </c>
      <c r="J4" s="633" t="str">
        <f>IF((申請書!B29)="○","Ⅰ．A1",IF((申請書!B30)="○","Ⅰ．A2",IF((申請書!B31)="○","Ⅰ．A3",IF((申請書!B32)="○","Ⅰ．A4",IF((申請書!B33)="○","Ⅰ．B1",IF((申請書!B34)="○","Ⅰ．B2",IF((申請書!B35)="○","Ⅰ．B3",IF((申請書!B36)="○","Ⅰ．B4",IF((申請書!B37)="○","Ⅰ．W1",IF((申請書!B38)="○","Ⅱ．C1",IF((申請書!B39)="○","Ⅱ．C2",IF((申請書!B40)="○","Ⅱ．C3",IF((申請書!B43)="○","Ⅲ．D1",IF((申請書!B44)="○","Ⅲ．D2",IF((申請書!B45)="○","Ⅲ．D3",IF((申請書!B46)="○","Ⅳ．E1",IF((申請書!B47)="○","Ⅳ．E2",IF((申請書!B48)="○","Ⅳ．E3",IF((申請書!B49)="○","Ⅴ．F1","-")))))))))))))))))))</f>
        <v>-</v>
      </c>
      <c r="K4" s="633" t="b">
        <f>IF((申請書!B29)="○","Ⅰ．A1 中小",IF((申請書!B30)="○","Ⅰ．A2 中小ｾﾞﾛｴﾐ【省ｴﾈ】",IF((申請書!B31)="○","Ⅰ．A3 中小ｾﾞﾛｴﾐ【再ｴﾈ】",IF((申請書!B32)="○","Ⅰ．A4 中小賃上",IF((申請書!B33)="○","Ⅰ．B1 小規模",IF((申請書!B34)="○","Ⅰ．B2 小規模ｾﾞﾛｴﾐ【省ｴﾈ】",IF((申請書!B35)="○","Ⅰ．B3 小規模ｾﾞﾛｴﾐ【再ｴﾈ】",IF((申請書!B36)="○","Ⅰ．B4 小規模賃上",IF((申請書!B37)="○","Ⅰ．W働き方",IF((申請書!B38)="○","Ⅱ．ＤＸ",IF((申請書!B39)="○","Ⅱ．ＤＸｾﾞﾛｴﾐ",IF((申請書!B40)="○","Ⅱ．ＤＸ賃上",IF((申請書!B43)="○","Ⅲ．イノベ",IF((申請書!B44)="○","Ⅲ．イノベｾﾞﾛｴﾐ",IF((申請書!B45)="○","Ⅲ．イノベ賃上",IF((申請書!B46)="○","Ⅳ．後継者",IF((申請書!B47)="○","Ⅳ．後継者ｾﾞﾛｴﾐ",IF((申請書!B48)="○","Ⅳ．後継者賃上",IF((申請書!B49)="○","Ⅴ．Fｱｯﾌﾟｸﾞﾚｰﾄﾞ""-")))))))))))))))))))</f>
        <v>0</v>
      </c>
      <c r="L4" s="633" t="str">
        <f>IF((申請書!D42)="○","Ⅱ．①",IF((申請書!L42)="○","Ⅱ．②",IF((申請書!S42)="○","Ⅱ．③","-")))</f>
        <v>-</v>
      </c>
      <c r="N4" s="633" t="str">
        <f>IF((申請書!B29)="○","1/2以内",IF((申請書!B30)="○","3/4以内",IF((申請書!B31)="○","3/4以内",IF((申請書!B32)="○","3/4以内",IF((申請書!B33)="○","2/3以内",IF((申請書!B34)="○","3/4以内",IF((申請書!B35)="○","3/4以内",IF((申請書!B36)="○","4/5以内",IF((申請書!B37)="○","4/5以内",IF((申請書!B38)="○","2/3以内",IF((申請書!B39)="○","3/4以内",IF((申請書!B40)="○","3/4以内",IF((申請書!B43)="○","2/3以内",IF((申請書!B44)="○","3/4以内",IF((申請書!B45)="○","3/4以内",IF((申請書!B46)="○","2/3以内",IF((申請書!B47)="○","3/4以内",IF((申請書!B48)="○","3/4以内",IF((申請書!B49)="○","3/4以内","-")))))))))))))))))))</f>
        <v>-</v>
      </c>
      <c r="O4" s="633" t="str">
        <f>申請書!K69</f>
        <v/>
      </c>
      <c r="P4" s="633" t="str">
        <f>申請書!V68</f>
        <v>下限額未満</v>
      </c>
      <c r="Q4" s="634">
        <f>機械設備計画!AC14</f>
        <v>0</v>
      </c>
      <c r="R4" s="634">
        <f>機械設備計画!AC16+機械設備計画!AC17</f>
        <v>0</v>
      </c>
      <c r="S4" s="633" t="str">
        <f>資金計画!AA19</f>
        <v>要申請者区分選択</v>
      </c>
      <c r="T4" s="633" t="str">
        <f>資金計画!AA20</f>
        <v>要申請者区分選択</v>
      </c>
      <c r="U4" s="633" t="str">
        <f>資金計画!AA24</f>
        <v>-</v>
      </c>
      <c r="V4" s="633">
        <f>申請書!F75</f>
        <v>0</v>
      </c>
      <c r="W4" s="633">
        <f>申請書!O75</f>
        <v>0</v>
      </c>
      <c r="X4" s="633">
        <f>申請書!X75</f>
        <v>0</v>
      </c>
      <c r="Y4" s="633">
        <f>申請書!X76</f>
        <v>0</v>
      </c>
      <c r="Z4" s="633">
        <f>IF(申請書!F83="",申請書!F80,申請書!F83)</f>
        <v>0</v>
      </c>
      <c r="AA4" s="633">
        <f>IF(申請書!E84="",申請書!E81,申請書!E84)</f>
        <v>0</v>
      </c>
      <c r="AB4" s="633">
        <f>IF(申請書!W84="",申請書!W80,申請書!W84)</f>
        <v>0</v>
      </c>
      <c r="AC4" s="633">
        <f>申請書!W86</f>
        <v>0</v>
      </c>
      <c r="AD4" s="633">
        <f>申請書!H86</f>
        <v>0</v>
      </c>
      <c r="AE4" s="633">
        <f>申請書!E87</f>
        <v>0</v>
      </c>
      <c r="AF4" s="633">
        <f>申請書!P87</f>
        <v>0</v>
      </c>
      <c r="AG4" s="633">
        <f>申請書!V87</f>
        <v>0</v>
      </c>
      <c r="AH4" s="635">
        <f>申請書!I62</f>
        <v>0</v>
      </c>
      <c r="AI4" s="633" t="str">
        <f>申請書!O62</f>
        <v/>
      </c>
      <c r="AJ4" s="633" t="str">
        <f>申請書!X61</f>
        <v>未入力</v>
      </c>
      <c r="AK4" s="633" t="e">
        <f>VLOOKUP(AH4,'入力規則(改変禁止)'!$A$54:$D$164,3,0)</f>
        <v>#N/A</v>
      </c>
      <c r="AL4" s="633" t="e">
        <f>VLOOKUP(AH4,'入力規則(改変禁止)'!$A$54:$D$164,4,0)</f>
        <v>#N/A</v>
      </c>
      <c r="AM4" s="633" t="e">
        <f>IF(OR(AE4&lt;=AK4,AJ4&lt;=AL4),"○","×")</f>
        <v>#N/A</v>
      </c>
      <c r="AN4" s="633">
        <f>申請書!D152</f>
        <v>0</v>
      </c>
      <c r="AO4" s="633" t="str">
        <f>IF((申請書!M153)="○","都内",IF((申請書!M154)="○","都外",""))</f>
        <v/>
      </c>
      <c r="AP4" s="633" t="str">
        <f>CONCATENATE(申請書!J161,申請書!M161)</f>
        <v/>
      </c>
      <c r="AQ4" s="633" t="str">
        <f>追加設置場所!D7&amp;""</f>
        <v/>
      </c>
      <c r="AR4" s="633" t="str">
        <f>IF((追加設置場所!M8)="○","都内",IF((追加設置場所!M9)="○","都外",""))</f>
        <v/>
      </c>
      <c r="AS4" s="633" t="str">
        <f>CONCATENATE(追加設置場所!J16,追加設置場所!M16)</f>
        <v/>
      </c>
      <c r="AT4" s="633" t="str">
        <f>IF(追加設置場所!D31=0,"",追加設置場所!D31)</f>
        <v/>
      </c>
      <c r="AU4" s="633" t="str">
        <f>IF((追加設置場所!M32)="○","都内",IF((追加設置場所!M33)="○","都外",""))</f>
        <v/>
      </c>
      <c r="AV4" s="633" t="str">
        <f>CONCATENATE(追加設置場所!J40,追加設置場所!M40)</f>
        <v/>
      </c>
      <c r="AW4" s="633" t="str">
        <f>IF(AND(申請書!B181="",申請書!B182=""),"無","加点有")</f>
        <v>無</v>
      </c>
      <c r="AX4" s="633" t="str">
        <f>IF(申請書!B183="","無","加点有")</f>
        <v>無</v>
      </c>
      <c r="AY4" s="633" t="str">
        <f>IF(申請書!B184="","無","加点有")</f>
        <v>無</v>
      </c>
      <c r="AZ4" s="633" t="str">
        <f>IF(申請書!B185="","無","資料有")</f>
        <v>無</v>
      </c>
      <c r="BA4" s="636" t="e">
        <f>収支計画表２_区分ⅠⅡⅢⅣV用!D26</f>
        <v>#VALUE!</v>
      </c>
      <c r="BB4" s="636" t="e">
        <f>収支計画表２_区分ⅠⅡⅢⅣV用!E26</f>
        <v>#VALUE!</v>
      </c>
      <c r="BC4" s="636" t="e">
        <f>収支計画表２_区分ⅠⅡⅢⅣV用!F26</f>
        <v>#VALUE!</v>
      </c>
      <c r="BD4" s="637" t="b">
        <f>IF(OR(収支計画表２_区分ⅠⅡⅢⅣV用!D27="○"),(収支計画表２_区分ⅠⅡⅢⅣV用!E27="○"),(収支計画表２_区分ⅠⅡⅢⅣV用!F27="○"))</f>
        <v>0</v>
      </c>
      <c r="BE4" s="633" t="str">
        <f>資金計画!I12</f>
        <v>該当</v>
      </c>
      <c r="BF4" s="633">
        <f>IF((資金計画!I12)="該当",資金計画!I19,資金計画!I21)</f>
        <v>0</v>
      </c>
      <c r="BG4" s="633">
        <f>IF((資金計画!I12)="該当",資金計画!I20,資金計画!I22)</f>
        <v>0</v>
      </c>
      <c r="BH4" s="633">
        <f>BF4+BG4</f>
        <v>0</v>
      </c>
      <c r="BI4" s="633">
        <f>資金計画!I23</f>
        <v>0</v>
      </c>
      <c r="BJ4" s="633">
        <f>資金計画!I24</f>
        <v>0</v>
      </c>
      <c r="BK4" s="633">
        <f>IF((資金計画!I12)="該当",資金計画!M19,資金計画!M21)</f>
        <v>0</v>
      </c>
      <c r="BL4" s="633">
        <f>IF((資金計画!I12)="該当",資金計画!M20,資金計画!M22)</f>
        <v>0</v>
      </c>
      <c r="BM4" s="633" t="str">
        <f>資金計画!M24</f>
        <v/>
      </c>
      <c r="BN4" s="633" t="str">
        <f>IF((資金計画!I12)="該当",資金計画!Q19,資金計画!Q21)</f>
        <v>要申請者区分選択</v>
      </c>
      <c r="BO4" s="633" t="str">
        <f>IF((資金計画!I12)="該当",資金計画!Q20,資金計画!Q22)</f>
        <v>要申請者区分選択</v>
      </c>
      <c r="BP4" s="633" t="str">
        <f>資金計画!Q24</f>
        <v>下限額未満</v>
      </c>
      <c r="BQ4" s="633" t="b">
        <f>EXACT(O4,BM4)</f>
        <v>1</v>
      </c>
      <c r="BR4" s="633" t="b">
        <f>EXACT(P4,BP4)</f>
        <v>1</v>
      </c>
      <c r="BS4" s="633" t="str">
        <f>機械設備計画!C6&amp;""</f>
        <v/>
      </c>
      <c r="BT4" s="633" t="str">
        <f>機械設備計画!H6&amp;""</f>
        <v/>
      </c>
      <c r="BU4" s="634" t="str">
        <f>機械設備計画!W6&amp;""</f>
        <v/>
      </c>
      <c r="BV4" s="633" t="str">
        <f>機械設備計画!AA6&amp;""</f>
        <v/>
      </c>
      <c r="BW4" s="634" t="str">
        <f>機械設備計画!AC6&amp;""</f>
        <v>0</v>
      </c>
      <c r="BX4" s="633" t="str">
        <f>機械設備計画!C7&amp;""</f>
        <v/>
      </c>
      <c r="BY4" s="633" t="str">
        <f>機械設備計画!H7&amp;""</f>
        <v/>
      </c>
      <c r="BZ4" s="634" t="str">
        <f>機械設備計画!W7&amp;""</f>
        <v/>
      </c>
      <c r="CA4" s="633" t="str">
        <f>機械設備計画!AA7&amp;""</f>
        <v/>
      </c>
      <c r="CB4" s="634" t="str">
        <f>機械設備計画!AC7&amp;""</f>
        <v>0</v>
      </c>
      <c r="CC4" s="633" t="str">
        <f>機械設備計画!C8&amp;""</f>
        <v/>
      </c>
      <c r="CD4" s="633" t="str">
        <f>機械設備計画!H8&amp;""</f>
        <v/>
      </c>
      <c r="CE4" s="634" t="str">
        <f>機械設備計画!W8&amp;""</f>
        <v/>
      </c>
      <c r="CF4" s="633" t="str">
        <f>機械設備計画!AA8&amp;""</f>
        <v/>
      </c>
      <c r="CG4" s="634" t="str">
        <f>機械設備計画!AC8&amp;""</f>
        <v>0</v>
      </c>
      <c r="CH4" s="633" t="str">
        <f>機械設備計画!C9&amp;""</f>
        <v/>
      </c>
      <c r="CI4" s="633" t="str">
        <f>機械設備計画!H9&amp;""</f>
        <v/>
      </c>
      <c r="CJ4" s="634" t="str">
        <f>機械設備計画!W9&amp;""</f>
        <v/>
      </c>
      <c r="CK4" s="633" t="str">
        <f>機械設備計画!AA9&amp;""</f>
        <v/>
      </c>
      <c r="CL4" s="634" t="str">
        <f>機械設備計画!AC9&amp;""</f>
        <v>0</v>
      </c>
      <c r="CM4" s="633" t="str">
        <f>機械設備計画!C10&amp;""</f>
        <v/>
      </c>
      <c r="CN4" s="633" t="str">
        <f>機械設備計画!H10&amp;""</f>
        <v/>
      </c>
      <c r="CO4" s="634" t="str">
        <f>機械設備計画!W10&amp;""</f>
        <v/>
      </c>
      <c r="CP4" s="633" t="str">
        <f>機械設備計画!AA10&amp;""</f>
        <v/>
      </c>
      <c r="CQ4" s="634" t="str">
        <f>機械設備計画!AC10&amp;""</f>
        <v>0</v>
      </c>
      <c r="CR4" s="633" t="str">
        <f>機械設備計画!C11&amp;""</f>
        <v/>
      </c>
      <c r="CS4" s="633" t="str">
        <f>機械設備計画!H11&amp;""</f>
        <v/>
      </c>
      <c r="CT4" s="634" t="str">
        <f>機械設備計画!W11&amp;""</f>
        <v/>
      </c>
      <c r="CU4" s="633" t="str">
        <f>機械設備計画!AA11&amp;""</f>
        <v/>
      </c>
      <c r="CV4" s="634" t="str">
        <f>機械設備計画!AC11&amp;""</f>
        <v>0</v>
      </c>
      <c r="CW4" s="633" t="str">
        <f>機械設備計画!C12&amp;""</f>
        <v/>
      </c>
      <c r="CX4" s="633" t="str">
        <f>機械設備計画!H12&amp;""</f>
        <v/>
      </c>
      <c r="CY4" s="634" t="str">
        <f>機械設備計画!W12&amp;""</f>
        <v/>
      </c>
      <c r="CZ4" s="633" t="str">
        <f>機械設備計画!AA12&amp;""</f>
        <v/>
      </c>
      <c r="DA4" s="634" t="str">
        <f>機械設備計画!AC12&amp;""</f>
        <v>0</v>
      </c>
      <c r="DB4" s="633" t="str">
        <f>機械設備計画!C13&amp;""</f>
        <v/>
      </c>
      <c r="DC4" s="633" t="str">
        <f>機械設備計画!H13&amp;""</f>
        <v/>
      </c>
      <c r="DD4" s="634" t="str">
        <f>機械設備計画!W13&amp;""</f>
        <v/>
      </c>
      <c r="DE4" s="633" t="str">
        <f>機械設備計画!AA13&amp;""</f>
        <v/>
      </c>
      <c r="DF4" s="634" t="str">
        <f>機械設備計画!AC13&amp;""</f>
        <v>0</v>
      </c>
      <c r="DG4" s="633">
        <f>(機械設備計画!P14)+(機械設備計画!P15)</f>
        <v>0</v>
      </c>
      <c r="DH4" s="633">
        <f>(機械設備計画!P16)</f>
        <v>0</v>
      </c>
      <c r="DI4" s="633">
        <f>(機械設備計画!P17)</f>
        <v>0</v>
      </c>
      <c r="DJ4" s="634">
        <f>(機械設備計画!AC14)</f>
        <v>0</v>
      </c>
      <c r="DK4" s="634">
        <f>(機械設備計画!AC16)</f>
        <v>0</v>
      </c>
      <c r="DL4" s="634">
        <f>(機械設備計画!AC17)</f>
        <v>0</v>
      </c>
      <c r="DM4" s="634">
        <f>BW4+CB4+CG4+CL4+CQ4+CV4+DA4+DF4</f>
        <v>0</v>
      </c>
      <c r="DN4" s="638" t="str">
        <f ca="1">IF(INDIRECT("機械設備計画!B14")="合計","No","Yes")</f>
        <v>No</v>
      </c>
      <c r="DO4" s="639">
        <f ca="1">IF(DN4="Yes",SUM(機械設備計画!AC12:AC96)-O4,0)</f>
        <v>0</v>
      </c>
      <c r="DP4" s="634">
        <f>DJ4+DK4+DL4</f>
        <v>0</v>
      </c>
      <c r="DQ4" s="633" t="str">
        <f>申請書!V69</f>
        <v>該当なし</v>
      </c>
      <c r="DR4" s="633" t="str">
        <f>申請書!V70</f>
        <v>該当なし</v>
      </c>
      <c r="DS4" s="469"/>
      <c r="DT4" s="633">
        <f>機械設備計画!AL26</f>
        <v>0</v>
      </c>
      <c r="DU4" s="640" t="str">
        <f>申請書!B56&amp;""</f>
        <v/>
      </c>
      <c r="DV4" s="299"/>
      <c r="DW4" s="433"/>
      <c r="DX4" s="433"/>
      <c r="DY4" s="433"/>
      <c r="DZ4" s="434"/>
      <c r="EA4" s="435"/>
      <c r="EB4" s="436">
        <f t="shared" ref="EB4" si="0">DZ4+EA4</f>
        <v>0</v>
      </c>
      <c r="EC4" s="571">
        <f>IF(OR(AW4="加点有",AX4="加点有"),5,0)</f>
        <v>0</v>
      </c>
      <c r="ED4" s="571">
        <v>0</v>
      </c>
      <c r="EE4" s="571">
        <f>IF(AY4="加点有",1,0)</f>
        <v>0</v>
      </c>
      <c r="EF4" s="571">
        <f t="shared" ref="EF4" si="1">EB4+EC4+ED4+EE4</f>
        <v>0</v>
      </c>
      <c r="EG4" s="433" t="str">
        <f t="shared" ref="EG4" si="2">IF(EI4="辞退","-",IF(EF4&gt;=50,"○",IF(EF4="","","×")))</f>
        <v>×</v>
      </c>
      <c r="EH4" s="433"/>
      <c r="EI4" s="433"/>
      <c r="EJ4" s="433"/>
      <c r="EK4" s="437"/>
      <c r="EL4" s="437"/>
      <c r="EM4" s="437"/>
      <c r="EN4" s="437"/>
      <c r="EO4" s="437"/>
      <c r="EP4" s="437"/>
      <c r="EQ4" s="437"/>
      <c r="ER4" s="437"/>
      <c r="ES4" s="437">
        <f t="shared" ref="ES4" si="3">SUM(EN4:ER4)</f>
        <v>0</v>
      </c>
      <c r="ET4" s="437"/>
      <c r="EU4" s="437"/>
      <c r="EV4" s="437"/>
      <c r="EW4" s="437"/>
      <c r="EX4" s="437"/>
      <c r="EY4" s="437"/>
      <c r="EZ4" s="437">
        <f t="shared" ref="EZ4" si="4">SUM(EU4:EY4)</f>
        <v>0</v>
      </c>
      <c r="FA4" s="433" t="str">
        <f t="shared" ref="FA4" si="5">IF(OR(EM9="不適",ET9="不適"),"不適","適")</f>
        <v>適</v>
      </c>
      <c r="FB4" s="437">
        <f t="shared" ref="FB4:FG4" si="6">EN4+EU4</f>
        <v>0</v>
      </c>
      <c r="FC4" s="437">
        <f t="shared" si="6"/>
        <v>0</v>
      </c>
      <c r="FD4" s="437">
        <f t="shared" si="6"/>
        <v>0</v>
      </c>
      <c r="FE4" s="437">
        <f t="shared" si="6"/>
        <v>0</v>
      </c>
      <c r="FF4" s="437">
        <f t="shared" si="6"/>
        <v>0</v>
      </c>
      <c r="FG4" s="437">
        <f t="shared" si="6"/>
        <v>0</v>
      </c>
      <c r="FH4" s="437">
        <f t="shared" ref="FH4" si="7">EM4</f>
        <v>0</v>
      </c>
      <c r="FI4" s="437">
        <f t="shared" ref="FI4" si="8">ET4</f>
        <v>0</v>
      </c>
      <c r="FJ4" s="437" t="str">
        <f t="shared" ref="FJ4" si="9">IF(OR(EM4="不適",ET4="不適"),"不適","適")</f>
        <v>適</v>
      </c>
      <c r="FK4" s="437">
        <f>RANK(FG4,FG4:FG1000)</f>
        <v>1</v>
      </c>
      <c r="FL4" s="438" t="str">
        <f>企業分類!B2</f>
        <v>要業種コード入力</v>
      </c>
      <c r="FM4" s="400" t="str">
        <f>資金計画!AD23</f>
        <v>要申請者区分選択</v>
      </c>
    </row>
    <row r="5" spans="1:169">
      <c r="R5" s="417"/>
      <c r="AK5" s="400"/>
      <c r="DO5" s="418"/>
    </row>
  </sheetData>
  <phoneticPr fontId="1"/>
  <dataValidations count="2">
    <dataValidation allowBlank="1" showInputMessage="1" showErrorMessage="1" errorTitle="交付申請額" error="100万以上1億以下" sqref="P3 FL3 DQ3:DR3" xr:uid="{00000000-0002-0000-0B00-000000000000}"/>
    <dataValidation allowBlank="1" showInputMessage="1" showErrorMessage="1" promptTitle="フリガナ" prompt="株式会社、有限会社等はフリガナからのぞいてください" sqref="F3" xr:uid="{00000000-0002-0000-0B00-000001000000}"/>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theme="1" tint="4.9989318521683403E-2"/>
  </sheetPr>
  <dimension ref="A1:G164"/>
  <sheetViews>
    <sheetView workbookViewId="0">
      <selection activeCell="A33" sqref="A33"/>
    </sheetView>
  </sheetViews>
  <sheetFormatPr defaultRowHeight="18"/>
  <cols>
    <col min="1" max="1" width="18.5" style="412" customWidth="1"/>
    <col min="2" max="2" width="45.5" customWidth="1"/>
    <col min="3" max="4" width="12.75" customWidth="1"/>
    <col min="5" max="5" width="23.25" customWidth="1"/>
    <col min="6" max="6" width="37.5" customWidth="1"/>
  </cols>
  <sheetData>
    <row r="1" spans="1:7" s="372" customFormat="1" ht="19">
      <c r="A1" s="409" t="s">
        <v>979</v>
      </c>
    </row>
    <row r="2" spans="1:7" ht="36">
      <c r="A2" s="410" t="s">
        <v>724</v>
      </c>
      <c r="B2" s="401" t="s">
        <v>725</v>
      </c>
      <c r="C2" s="443" t="s">
        <v>922</v>
      </c>
      <c r="E2" s="444"/>
      <c r="F2" s="444"/>
      <c r="G2" s="444"/>
    </row>
    <row r="3" spans="1:7">
      <c r="A3" s="411" t="s">
        <v>932</v>
      </c>
      <c r="B3" s="402" t="s">
        <v>936</v>
      </c>
      <c r="D3" t="s">
        <v>942</v>
      </c>
      <c r="F3" t="s">
        <v>942</v>
      </c>
    </row>
    <row r="4" spans="1:7">
      <c r="A4" s="411" t="s">
        <v>933</v>
      </c>
      <c r="B4" s="402" t="s">
        <v>937</v>
      </c>
      <c r="D4" t="s">
        <v>943</v>
      </c>
      <c r="F4" t="s">
        <v>943</v>
      </c>
    </row>
    <row r="5" spans="1:7" s="567" customFormat="1">
      <c r="A5" s="411" t="s">
        <v>1098</v>
      </c>
      <c r="B5" s="402" t="s">
        <v>937</v>
      </c>
      <c r="D5" s="567" t="s">
        <v>1102</v>
      </c>
      <c r="F5" s="567" t="s">
        <v>1102</v>
      </c>
    </row>
    <row r="6" spans="1:7">
      <c r="A6" s="411" t="s">
        <v>1096</v>
      </c>
      <c r="B6" s="402" t="s">
        <v>1010</v>
      </c>
      <c r="D6" t="s">
        <v>1100</v>
      </c>
      <c r="F6" t="s">
        <v>1100</v>
      </c>
    </row>
    <row r="7" spans="1:7">
      <c r="A7" s="411" t="s">
        <v>934</v>
      </c>
      <c r="B7" s="402" t="s">
        <v>938</v>
      </c>
      <c r="D7" t="s">
        <v>944</v>
      </c>
      <c r="F7" t="s">
        <v>944</v>
      </c>
    </row>
    <row r="8" spans="1:7">
      <c r="A8" s="411" t="s">
        <v>935</v>
      </c>
      <c r="B8" s="402" t="s">
        <v>939</v>
      </c>
      <c r="D8" t="s">
        <v>945</v>
      </c>
      <c r="F8" t="s">
        <v>945</v>
      </c>
    </row>
    <row r="9" spans="1:7" s="567" customFormat="1">
      <c r="A9" s="411" t="s">
        <v>1097</v>
      </c>
      <c r="B9" s="402" t="s">
        <v>939</v>
      </c>
      <c r="D9" s="567" t="s">
        <v>1101</v>
      </c>
      <c r="F9" s="567" t="s">
        <v>1101</v>
      </c>
    </row>
    <row r="10" spans="1:7">
      <c r="A10" s="411" t="s">
        <v>1095</v>
      </c>
      <c r="B10" s="402" t="s">
        <v>1011</v>
      </c>
      <c r="D10" t="s">
        <v>1099</v>
      </c>
      <c r="F10" t="s">
        <v>1099</v>
      </c>
    </row>
    <row r="11" spans="1:7">
      <c r="A11" s="411" t="s">
        <v>726</v>
      </c>
      <c r="B11" s="402" t="s">
        <v>727</v>
      </c>
      <c r="D11" t="s">
        <v>728</v>
      </c>
      <c r="F11" t="s">
        <v>727</v>
      </c>
    </row>
    <row r="12" spans="1:7">
      <c r="A12" s="411" t="s">
        <v>729</v>
      </c>
      <c r="B12" s="402" t="s">
        <v>730</v>
      </c>
      <c r="D12" t="s">
        <v>731</v>
      </c>
      <c r="F12" t="s">
        <v>730</v>
      </c>
    </row>
    <row r="13" spans="1:7">
      <c r="A13" s="411" t="s">
        <v>732</v>
      </c>
      <c r="B13" s="402" t="s">
        <v>733</v>
      </c>
      <c r="D13" t="s">
        <v>734</v>
      </c>
      <c r="F13" t="s">
        <v>733</v>
      </c>
    </row>
    <row r="14" spans="1:7">
      <c r="A14" s="411" t="s">
        <v>735</v>
      </c>
      <c r="B14" s="402" t="s">
        <v>736</v>
      </c>
      <c r="D14" t="s">
        <v>737</v>
      </c>
      <c r="F14" t="s">
        <v>736</v>
      </c>
    </row>
    <row r="15" spans="1:7">
      <c r="A15" s="411" t="s">
        <v>738</v>
      </c>
      <c r="B15" s="402" t="s">
        <v>739</v>
      </c>
      <c r="D15" t="s">
        <v>740</v>
      </c>
      <c r="F15" t="s">
        <v>739</v>
      </c>
    </row>
    <row r="16" spans="1:7">
      <c r="A16" s="411" t="s">
        <v>741</v>
      </c>
      <c r="B16" s="402" t="s">
        <v>742</v>
      </c>
      <c r="D16" t="s">
        <v>743</v>
      </c>
      <c r="F16" t="s">
        <v>742</v>
      </c>
    </row>
    <row r="17" spans="1:6">
      <c r="A17" s="411" t="s">
        <v>744</v>
      </c>
      <c r="B17" s="402" t="s">
        <v>745</v>
      </c>
      <c r="D17" t="s">
        <v>746</v>
      </c>
      <c r="F17" t="s">
        <v>745</v>
      </c>
    </row>
    <row r="18" spans="1:6">
      <c r="A18" s="411" t="s">
        <v>747</v>
      </c>
      <c r="B18" s="402" t="s">
        <v>748</v>
      </c>
      <c r="D18" t="s">
        <v>749</v>
      </c>
      <c r="F18" t="s">
        <v>748</v>
      </c>
    </row>
    <row r="19" spans="1:6">
      <c r="A19" s="411" t="s">
        <v>750</v>
      </c>
      <c r="B19" s="402" t="s">
        <v>751</v>
      </c>
      <c r="D19" t="s">
        <v>752</v>
      </c>
      <c r="F19" t="s">
        <v>751</v>
      </c>
    </row>
    <row r="20" spans="1:6">
      <c r="A20" s="411" t="s">
        <v>753</v>
      </c>
      <c r="B20" s="402" t="s">
        <v>754</v>
      </c>
      <c r="D20" t="s">
        <v>755</v>
      </c>
      <c r="F20" t="s">
        <v>754</v>
      </c>
    </row>
    <row r="21" spans="1:6">
      <c r="A21" s="411" t="s">
        <v>756</v>
      </c>
      <c r="B21" s="402" t="s">
        <v>757</v>
      </c>
      <c r="D21" t="s">
        <v>758</v>
      </c>
      <c r="F21" t="s">
        <v>757</v>
      </c>
    </row>
    <row r="22" spans="1:6">
      <c r="A22" s="411" t="s">
        <v>759</v>
      </c>
      <c r="B22" s="402" t="s">
        <v>760</v>
      </c>
      <c r="D22" t="s">
        <v>761</v>
      </c>
      <c r="F22" t="s">
        <v>760</v>
      </c>
    </row>
    <row r="23" spans="1:6">
      <c r="A23" s="411" t="s">
        <v>762</v>
      </c>
      <c r="B23" s="402" t="s">
        <v>144</v>
      </c>
    </row>
    <row r="24" spans="1:6" ht="27.65" customHeight="1"/>
    <row r="25" spans="1:6" ht="36">
      <c r="A25" s="410" t="s">
        <v>724</v>
      </c>
      <c r="B25" s="401" t="s">
        <v>763</v>
      </c>
    </row>
    <row r="26" spans="1:6">
      <c r="A26" s="411" t="s">
        <v>735</v>
      </c>
      <c r="B26" s="402" t="s">
        <v>764</v>
      </c>
      <c r="D26" t="s">
        <v>737</v>
      </c>
      <c r="F26" t="s">
        <v>764</v>
      </c>
    </row>
    <row r="27" spans="1:6">
      <c r="A27" s="411" t="s">
        <v>738</v>
      </c>
      <c r="B27" s="402" t="s">
        <v>765</v>
      </c>
      <c r="D27" t="s">
        <v>766</v>
      </c>
      <c r="F27" t="s">
        <v>765</v>
      </c>
    </row>
    <row r="28" spans="1:6">
      <c r="A28" s="411" t="s">
        <v>741</v>
      </c>
      <c r="B28" s="402" t="s">
        <v>767</v>
      </c>
      <c r="D28" t="s">
        <v>768</v>
      </c>
      <c r="F28" t="s">
        <v>767</v>
      </c>
    </row>
    <row r="29" spans="1:6">
      <c r="A29" s="411" t="s">
        <v>744</v>
      </c>
      <c r="B29" s="402" t="s">
        <v>769</v>
      </c>
      <c r="D29" t="s">
        <v>770</v>
      </c>
      <c r="F29" t="s">
        <v>769</v>
      </c>
    </row>
    <row r="30" spans="1:6" ht="22.15" customHeight="1"/>
    <row r="31" spans="1:6">
      <c r="A31" s="413" t="s">
        <v>619</v>
      </c>
      <c r="B31" s="403" t="s">
        <v>771</v>
      </c>
    </row>
    <row r="32" spans="1:6">
      <c r="A32" s="411" t="s">
        <v>940</v>
      </c>
      <c r="B32" s="402" t="s">
        <v>772</v>
      </c>
    </row>
    <row r="33" spans="1:2">
      <c r="A33" s="568" t="s">
        <v>1082</v>
      </c>
      <c r="B33" s="402" t="s">
        <v>992</v>
      </c>
    </row>
    <row r="34" spans="1:2">
      <c r="A34" s="569" t="s">
        <v>1083</v>
      </c>
      <c r="B34" s="402" t="s">
        <v>1012</v>
      </c>
    </row>
    <row r="35" spans="1:2" s="567" customFormat="1">
      <c r="A35" s="411" t="s">
        <v>1080</v>
      </c>
      <c r="B35" s="402" t="s">
        <v>1012</v>
      </c>
    </row>
    <row r="36" spans="1:2">
      <c r="A36" s="411" t="s">
        <v>941</v>
      </c>
      <c r="B36" s="402" t="s">
        <v>773</v>
      </c>
    </row>
    <row r="37" spans="1:2">
      <c r="A37" s="568" t="s">
        <v>1084</v>
      </c>
      <c r="B37" s="402" t="s">
        <v>992</v>
      </c>
    </row>
    <row r="38" spans="1:2">
      <c r="A38" s="569" t="s">
        <v>1085</v>
      </c>
      <c r="B38" s="402" t="s">
        <v>1012</v>
      </c>
    </row>
    <row r="39" spans="1:2" s="567" customFormat="1">
      <c r="A39" s="411" t="s">
        <v>1081</v>
      </c>
      <c r="B39" s="402" t="s">
        <v>1012</v>
      </c>
    </row>
    <row r="40" spans="1:2">
      <c r="A40" s="411" t="s">
        <v>1086</v>
      </c>
      <c r="B40" s="402" t="s">
        <v>773</v>
      </c>
    </row>
    <row r="41" spans="1:2" s="567" customFormat="1">
      <c r="A41" s="411" t="s">
        <v>1087</v>
      </c>
      <c r="B41" s="402" t="s">
        <v>1012</v>
      </c>
    </row>
    <row r="42" spans="1:2" s="567" customFormat="1">
      <c r="A42" s="411" t="s">
        <v>1088</v>
      </c>
      <c r="B42" s="402" t="s">
        <v>1012</v>
      </c>
    </row>
    <row r="43" spans="1:2">
      <c r="A43" s="411" t="s">
        <v>1093</v>
      </c>
      <c r="B43" s="402" t="s">
        <v>773</v>
      </c>
    </row>
    <row r="44" spans="1:2" s="567" customFormat="1">
      <c r="A44" s="411" t="s">
        <v>1089</v>
      </c>
      <c r="B44" s="402" t="s">
        <v>1012</v>
      </c>
    </row>
    <row r="45" spans="1:2" s="567" customFormat="1">
      <c r="A45" s="411" t="s">
        <v>1090</v>
      </c>
      <c r="B45" s="402" t="s">
        <v>1012</v>
      </c>
    </row>
    <row r="46" spans="1:2" s="567" customFormat="1">
      <c r="A46" s="411" t="s">
        <v>1094</v>
      </c>
      <c r="B46" s="402" t="s">
        <v>773</v>
      </c>
    </row>
    <row r="47" spans="1:2" s="567" customFormat="1">
      <c r="A47" s="411" t="s">
        <v>1092</v>
      </c>
      <c r="B47" s="402" t="s">
        <v>1012</v>
      </c>
    </row>
    <row r="48" spans="1:2">
      <c r="A48" s="411" t="s">
        <v>1091</v>
      </c>
      <c r="B48" s="402" t="s">
        <v>1012</v>
      </c>
    </row>
    <row r="53" spans="1:5" ht="43.15" customHeight="1">
      <c r="A53" s="414" t="s">
        <v>774</v>
      </c>
      <c r="B53" s="404" t="s">
        <v>775</v>
      </c>
      <c r="C53" s="405" t="s">
        <v>776</v>
      </c>
      <c r="D53" s="405" t="s">
        <v>777</v>
      </c>
      <c r="E53" s="405" t="s">
        <v>778</v>
      </c>
    </row>
    <row r="54" spans="1:5">
      <c r="A54" s="416" t="s">
        <v>881</v>
      </c>
      <c r="B54" s="406" t="s">
        <v>779</v>
      </c>
      <c r="C54" s="402">
        <v>300000</v>
      </c>
      <c r="D54" s="402">
        <v>300</v>
      </c>
      <c r="E54" s="402">
        <v>20</v>
      </c>
    </row>
    <row r="55" spans="1:5">
      <c r="A55" s="416" t="s">
        <v>882</v>
      </c>
      <c r="B55" s="406" t="s">
        <v>780</v>
      </c>
      <c r="C55" s="402">
        <v>300000</v>
      </c>
      <c r="D55" s="402">
        <v>300</v>
      </c>
      <c r="E55" s="402">
        <v>20</v>
      </c>
    </row>
    <row r="56" spans="1:5">
      <c r="A56" s="416" t="s">
        <v>883</v>
      </c>
      <c r="B56" s="406" t="s">
        <v>781</v>
      </c>
      <c r="C56" s="402">
        <v>300000</v>
      </c>
      <c r="D56" s="402">
        <v>300</v>
      </c>
      <c r="E56" s="402">
        <v>20</v>
      </c>
    </row>
    <row r="57" spans="1:5">
      <c r="A57" s="416" t="s">
        <v>884</v>
      </c>
      <c r="B57" s="406" t="s">
        <v>782</v>
      </c>
      <c r="C57" s="402">
        <v>300000</v>
      </c>
      <c r="D57" s="402">
        <v>300</v>
      </c>
      <c r="E57" s="402">
        <v>20</v>
      </c>
    </row>
    <row r="58" spans="1:5">
      <c r="A58" s="416" t="s">
        <v>885</v>
      </c>
      <c r="B58" s="406" t="s">
        <v>783</v>
      </c>
      <c r="C58" s="402">
        <v>300000</v>
      </c>
      <c r="D58" s="402">
        <v>300</v>
      </c>
      <c r="E58" s="402">
        <v>20</v>
      </c>
    </row>
    <row r="59" spans="1:5">
      <c r="A59" s="416" t="s">
        <v>886</v>
      </c>
      <c r="B59" s="406" t="s">
        <v>784</v>
      </c>
      <c r="C59" s="402">
        <v>300000</v>
      </c>
      <c r="D59" s="402">
        <v>300</v>
      </c>
      <c r="E59" s="402">
        <v>20</v>
      </c>
    </row>
    <row r="60" spans="1:5">
      <c r="A60" s="416" t="s">
        <v>887</v>
      </c>
      <c r="B60" s="406" t="s">
        <v>785</v>
      </c>
      <c r="C60" s="402">
        <v>300000</v>
      </c>
      <c r="D60" s="402">
        <v>300</v>
      </c>
      <c r="E60" s="402">
        <v>20</v>
      </c>
    </row>
    <row r="61" spans="1:5">
      <c r="A61" s="416" t="s">
        <v>888</v>
      </c>
      <c r="B61" s="406" t="s">
        <v>786</v>
      </c>
      <c r="C61" s="402">
        <v>300000</v>
      </c>
      <c r="D61" s="402">
        <v>300</v>
      </c>
      <c r="E61" s="402">
        <v>20</v>
      </c>
    </row>
    <row r="62" spans="1:5">
      <c r="A62" s="416" t="s">
        <v>889</v>
      </c>
      <c r="B62" s="406" t="s">
        <v>787</v>
      </c>
      <c r="C62" s="402">
        <v>300000</v>
      </c>
      <c r="D62" s="402">
        <v>300</v>
      </c>
      <c r="E62" s="402">
        <v>20</v>
      </c>
    </row>
    <row r="63" spans="1:5">
      <c r="A63" s="415">
        <v>10</v>
      </c>
      <c r="B63" s="406" t="s">
        <v>788</v>
      </c>
      <c r="C63" s="402">
        <v>300000</v>
      </c>
      <c r="D63" s="402">
        <v>300</v>
      </c>
      <c r="E63" s="402">
        <v>20</v>
      </c>
    </row>
    <row r="64" spans="1:5">
      <c r="A64" s="415">
        <v>11</v>
      </c>
      <c r="B64" s="406" t="s">
        <v>789</v>
      </c>
      <c r="C64" s="402">
        <v>300000</v>
      </c>
      <c r="D64" s="402">
        <v>300</v>
      </c>
      <c r="E64" s="402">
        <v>20</v>
      </c>
    </row>
    <row r="65" spans="1:5">
      <c r="A65" s="415">
        <v>12</v>
      </c>
      <c r="B65" s="406" t="s">
        <v>790</v>
      </c>
      <c r="C65" s="402">
        <v>300000</v>
      </c>
      <c r="D65" s="402">
        <v>300</v>
      </c>
      <c r="E65" s="402">
        <v>20</v>
      </c>
    </row>
    <row r="66" spans="1:5">
      <c r="A66" s="415">
        <v>13</v>
      </c>
      <c r="B66" s="406" t="s">
        <v>791</v>
      </c>
      <c r="C66" s="402">
        <v>300000</v>
      </c>
      <c r="D66" s="402">
        <v>300</v>
      </c>
      <c r="E66" s="402">
        <v>20</v>
      </c>
    </row>
    <row r="67" spans="1:5">
      <c r="A67" s="415">
        <v>14</v>
      </c>
      <c r="B67" s="406" t="s">
        <v>792</v>
      </c>
      <c r="C67" s="402">
        <v>300000</v>
      </c>
      <c r="D67" s="402">
        <v>300</v>
      </c>
      <c r="E67" s="402">
        <v>20</v>
      </c>
    </row>
    <row r="68" spans="1:5">
      <c r="A68" s="415">
        <v>15</v>
      </c>
      <c r="B68" s="406" t="s">
        <v>793</v>
      </c>
      <c r="C68" s="402">
        <v>300000</v>
      </c>
      <c r="D68" s="402">
        <v>300</v>
      </c>
      <c r="E68" s="402">
        <v>20</v>
      </c>
    </row>
    <row r="69" spans="1:5">
      <c r="A69" s="415">
        <v>16</v>
      </c>
      <c r="B69" s="406" t="s">
        <v>794</v>
      </c>
      <c r="C69" s="402">
        <v>300000</v>
      </c>
      <c r="D69" s="402">
        <v>300</v>
      </c>
      <c r="E69" s="402">
        <v>20</v>
      </c>
    </row>
    <row r="70" spans="1:5">
      <c r="A70" s="415">
        <v>17</v>
      </c>
      <c r="B70" s="406" t="s">
        <v>795</v>
      </c>
      <c r="C70" s="402">
        <v>300000</v>
      </c>
      <c r="D70" s="402">
        <v>300</v>
      </c>
      <c r="E70" s="402">
        <v>20</v>
      </c>
    </row>
    <row r="71" spans="1:5">
      <c r="A71" s="415">
        <v>18</v>
      </c>
      <c r="B71" s="406" t="s">
        <v>796</v>
      </c>
      <c r="C71" s="402">
        <v>300000</v>
      </c>
      <c r="D71" s="402">
        <v>300</v>
      </c>
      <c r="E71" s="402">
        <v>20</v>
      </c>
    </row>
    <row r="72" spans="1:5">
      <c r="A72" s="415">
        <v>19</v>
      </c>
      <c r="B72" s="406" t="s">
        <v>797</v>
      </c>
      <c r="C72" s="402">
        <v>300000</v>
      </c>
      <c r="D72" s="402">
        <v>300</v>
      </c>
      <c r="E72" s="402">
        <v>20</v>
      </c>
    </row>
    <row r="73" spans="1:5">
      <c r="A73" s="415">
        <v>20</v>
      </c>
      <c r="B73" s="406" t="s">
        <v>798</v>
      </c>
      <c r="C73" s="402">
        <v>300000</v>
      </c>
      <c r="D73" s="402">
        <v>300</v>
      </c>
      <c r="E73" s="402">
        <v>20</v>
      </c>
    </row>
    <row r="74" spans="1:5">
      <c r="A74" s="415">
        <v>21</v>
      </c>
      <c r="B74" s="406" t="s">
        <v>799</v>
      </c>
      <c r="C74" s="402">
        <v>300000</v>
      </c>
      <c r="D74" s="402">
        <v>300</v>
      </c>
      <c r="E74" s="402">
        <v>20</v>
      </c>
    </row>
    <row r="75" spans="1:5">
      <c r="A75" s="415">
        <v>22</v>
      </c>
      <c r="B75" s="406" t="s">
        <v>800</v>
      </c>
      <c r="C75" s="402">
        <v>300000</v>
      </c>
      <c r="D75" s="402">
        <v>300</v>
      </c>
      <c r="E75" s="402">
        <v>20</v>
      </c>
    </row>
    <row r="76" spans="1:5">
      <c r="A76" s="415">
        <v>23</v>
      </c>
      <c r="B76" s="406" t="s">
        <v>801</v>
      </c>
      <c r="C76" s="402">
        <v>300000</v>
      </c>
      <c r="D76" s="402">
        <v>300</v>
      </c>
      <c r="E76" s="402">
        <v>20</v>
      </c>
    </row>
    <row r="77" spans="1:5">
      <c r="A77" s="415">
        <v>24</v>
      </c>
      <c r="B77" s="406" t="s">
        <v>802</v>
      </c>
      <c r="C77" s="402">
        <v>300000</v>
      </c>
      <c r="D77" s="402">
        <v>300</v>
      </c>
      <c r="E77" s="402">
        <v>20</v>
      </c>
    </row>
    <row r="78" spans="1:5">
      <c r="A78" s="415">
        <v>25</v>
      </c>
      <c r="B78" s="406" t="s">
        <v>803</v>
      </c>
      <c r="C78" s="402">
        <v>300000</v>
      </c>
      <c r="D78" s="402">
        <v>300</v>
      </c>
      <c r="E78" s="402">
        <v>20</v>
      </c>
    </row>
    <row r="79" spans="1:5">
      <c r="A79" s="415">
        <v>26</v>
      </c>
      <c r="B79" s="406" t="s">
        <v>804</v>
      </c>
      <c r="C79" s="402">
        <v>300000</v>
      </c>
      <c r="D79" s="402">
        <v>300</v>
      </c>
      <c r="E79" s="402">
        <v>20</v>
      </c>
    </row>
    <row r="80" spans="1:5">
      <c r="A80" s="415">
        <v>27</v>
      </c>
      <c r="B80" s="406" t="s">
        <v>805</v>
      </c>
      <c r="C80" s="402">
        <v>300000</v>
      </c>
      <c r="D80" s="402">
        <v>300</v>
      </c>
      <c r="E80" s="402">
        <v>20</v>
      </c>
    </row>
    <row r="81" spans="1:5">
      <c r="A81" s="415">
        <v>28</v>
      </c>
      <c r="B81" s="406" t="s">
        <v>806</v>
      </c>
      <c r="C81" s="402">
        <v>300000</v>
      </c>
      <c r="D81" s="402">
        <v>300</v>
      </c>
      <c r="E81" s="402">
        <v>20</v>
      </c>
    </row>
    <row r="82" spans="1:5">
      <c r="A82" s="415">
        <v>29</v>
      </c>
      <c r="B82" s="406" t="s">
        <v>807</v>
      </c>
      <c r="C82" s="402">
        <v>300000</v>
      </c>
      <c r="D82" s="402">
        <v>300</v>
      </c>
      <c r="E82" s="402">
        <v>20</v>
      </c>
    </row>
    <row r="83" spans="1:5">
      <c r="A83" s="415">
        <v>30</v>
      </c>
      <c r="B83" s="406" t="s">
        <v>808</v>
      </c>
      <c r="C83" s="402">
        <v>300000</v>
      </c>
      <c r="D83" s="402">
        <v>300</v>
      </c>
      <c r="E83" s="402">
        <v>20</v>
      </c>
    </row>
    <row r="84" spans="1:5">
      <c r="A84" s="415">
        <v>31</v>
      </c>
      <c r="B84" s="406" t="s">
        <v>809</v>
      </c>
      <c r="C84" s="402">
        <v>300000</v>
      </c>
      <c r="D84" s="402">
        <v>300</v>
      </c>
      <c r="E84" s="402">
        <v>20</v>
      </c>
    </row>
    <row r="85" spans="1:5">
      <c r="A85" s="415">
        <v>32</v>
      </c>
      <c r="B85" s="406" t="s">
        <v>810</v>
      </c>
      <c r="C85" s="402">
        <v>300000</v>
      </c>
      <c r="D85" s="402">
        <v>300</v>
      </c>
      <c r="E85" s="402">
        <v>20</v>
      </c>
    </row>
    <row r="86" spans="1:5">
      <c r="A86" s="415">
        <v>33</v>
      </c>
      <c r="B86" s="406" t="s">
        <v>811</v>
      </c>
      <c r="C86" s="402">
        <v>300000</v>
      </c>
      <c r="D86" s="402">
        <v>300</v>
      </c>
      <c r="E86" s="402">
        <v>20</v>
      </c>
    </row>
    <row r="87" spans="1:5">
      <c r="A87" s="415">
        <v>34</v>
      </c>
      <c r="B87" s="406" t="s">
        <v>812</v>
      </c>
      <c r="C87" s="402">
        <v>300000</v>
      </c>
      <c r="D87" s="402">
        <v>300</v>
      </c>
      <c r="E87" s="402">
        <v>20</v>
      </c>
    </row>
    <row r="88" spans="1:5">
      <c r="A88" s="415">
        <v>35</v>
      </c>
      <c r="B88" s="406" t="s">
        <v>813</v>
      </c>
      <c r="C88" s="402">
        <v>300000</v>
      </c>
      <c r="D88" s="402">
        <v>300</v>
      </c>
      <c r="E88" s="402">
        <v>20</v>
      </c>
    </row>
    <row r="89" spans="1:5">
      <c r="A89" s="415">
        <v>36</v>
      </c>
      <c r="B89" s="406" t="s">
        <v>814</v>
      </c>
      <c r="C89" s="402">
        <v>300000</v>
      </c>
      <c r="D89" s="402">
        <v>300</v>
      </c>
      <c r="E89" s="402">
        <v>20</v>
      </c>
    </row>
    <row r="90" spans="1:5">
      <c r="A90" s="415">
        <v>37</v>
      </c>
      <c r="B90" s="406" t="s">
        <v>815</v>
      </c>
      <c r="C90" s="402">
        <v>300000</v>
      </c>
      <c r="D90" s="402">
        <v>300</v>
      </c>
      <c r="E90" s="402">
        <v>20</v>
      </c>
    </row>
    <row r="91" spans="1:5">
      <c r="A91" s="415">
        <v>38</v>
      </c>
      <c r="B91" s="406" t="s">
        <v>816</v>
      </c>
      <c r="C91" s="402">
        <v>50000</v>
      </c>
      <c r="D91" s="402">
        <v>100</v>
      </c>
      <c r="E91" s="402">
        <v>5</v>
      </c>
    </row>
    <row r="92" spans="1:5">
      <c r="A92" s="415">
        <v>39</v>
      </c>
      <c r="B92" s="406" t="s">
        <v>817</v>
      </c>
      <c r="C92" s="402">
        <v>300000</v>
      </c>
      <c r="D92" s="402">
        <v>300</v>
      </c>
      <c r="E92" s="402">
        <v>20</v>
      </c>
    </row>
    <row r="93" spans="1:5">
      <c r="A93" s="415">
        <v>40</v>
      </c>
      <c r="B93" s="406" t="s">
        <v>818</v>
      </c>
      <c r="C93" s="402">
        <v>300000</v>
      </c>
      <c r="D93" s="402">
        <v>300</v>
      </c>
      <c r="E93" s="402">
        <v>20</v>
      </c>
    </row>
    <row r="94" spans="1:5">
      <c r="A94" s="415">
        <v>41</v>
      </c>
      <c r="B94" s="406" t="s">
        <v>819</v>
      </c>
      <c r="C94" s="402">
        <v>300000</v>
      </c>
      <c r="D94" s="402">
        <v>300</v>
      </c>
      <c r="E94" s="402">
        <v>20</v>
      </c>
    </row>
    <row r="95" spans="1:5">
      <c r="A95" s="415">
        <v>410</v>
      </c>
      <c r="B95" s="406" t="s">
        <v>820</v>
      </c>
      <c r="C95" s="402">
        <v>300000</v>
      </c>
      <c r="D95" s="402">
        <v>300</v>
      </c>
      <c r="E95" s="402">
        <v>20</v>
      </c>
    </row>
    <row r="96" spans="1:5">
      <c r="A96" s="415">
        <v>411</v>
      </c>
      <c r="B96" s="406" t="s">
        <v>317</v>
      </c>
      <c r="C96" s="402">
        <v>50000</v>
      </c>
      <c r="D96" s="402">
        <v>100</v>
      </c>
      <c r="E96" s="402">
        <v>5</v>
      </c>
    </row>
    <row r="97" spans="1:5">
      <c r="A97" s="415">
        <v>412</v>
      </c>
      <c r="B97" s="406" t="s">
        <v>318</v>
      </c>
      <c r="C97" s="402">
        <v>50000</v>
      </c>
      <c r="D97" s="402">
        <v>100</v>
      </c>
      <c r="E97" s="402">
        <v>5</v>
      </c>
    </row>
    <row r="98" spans="1:5">
      <c r="A98" s="415">
        <v>413</v>
      </c>
      <c r="B98" s="406" t="s">
        <v>319</v>
      </c>
      <c r="C98" s="402">
        <v>300000</v>
      </c>
      <c r="D98" s="402">
        <v>300</v>
      </c>
      <c r="E98" s="402">
        <v>20</v>
      </c>
    </row>
    <row r="99" spans="1:5">
      <c r="A99" s="415">
        <v>414</v>
      </c>
      <c r="B99" s="406" t="s">
        <v>320</v>
      </c>
      <c r="C99" s="402">
        <v>300000</v>
      </c>
      <c r="D99" s="402">
        <v>300</v>
      </c>
      <c r="E99" s="402">
        <v>20</v>
      </c>
    </row>
    <row r="100" spans="1:5">
      <c r="A100" s="415">
        <v>415</v>
      </c>
      <c r="B100" s="406" t="s">
        <v>321</v>
      </c>
      <c r="C100" s="402">
        <v>50000</v>
      </c>
      <c r="D100" s="402">
        <v>100</v>
      </c>
      <c r="E100" s="402">
        <v>5</v>
      </c>
    </row>
    <row r="101" spans="1:5">
      <c r="A101" s="415">
        <v>416</v>
      </c>
      <c r="B101" s="406" t="s">
        <v>322</v>
      </c>
      <c r="C101" s="402">
        <v>50000</v>
      </c>
      <c r="D101" s="402">
        <v>100</v>
      </c>
      <c r="E101" s="402">
        <v>5</v>
      </c>
    </row>
    <row r="102" spans="1:5">
      <c r="A102" s="415">
        <v>42</v>
      </c>
      <c r="B102" s="406" t="s">
        <v>821</v>
      </c>
      <c r="C102" s="402">
        <v>300000</v>
      </c>
      <c r="D102" s="402">
        <v>300</v>
      </c>
      <c r="E102" s="402">
        <v>20</v>
      </c>
    </row>
    <row r="103" spans="1:5">
      <c r="A103" s="415">
        <v>43</v>
      </c>
      <c r="B103" s="406" t="s">
        <v>822</v>
      </c>
      <c r="C103" s="402">
        <v>300000</v>
      </c>
      <c r="D103" s="402">
        <v>300</v>
      </c>
      <c r="E103" s="402">
        <v>20</v>
      </c>
    </row>
    <row r="104" spans="1:5">
      <c r="A104" s="415">
        <v>44</v>
      </c>
      <c r="B104" s="406" t="s">
        <v>823</v>
      </c>
      <c r="C104" s="402">
        <v>300000</v>
      </c>
      <c r="D104" s="402">
        <v>300</v>
      </c>
      <c r="E104" s="402">
        <v>20</v>
      </c>
    </row>
    <row r="105" spans="1:5">
      <c r="A105" s="415">
        <v>45</v>
      </c>
      <c r="B105" s="406" t="s">
        <v>824</v>
      </c>
      <c r="C105" s="402">
        <v>300000</v>
      </c>
      <c r="D105" s="402">
        <v>300</v>
      </c>
      <c r="E105" s="402">
        <v>20</v>
      </c>
    </row>
    <row r="106" spans="1:5">
      <c r="A106" s="415">
        <v>46</v>
      </c>
      <c r="B106" s="406" t="s">
        <v>825</v>
      </c>
      <c r="C106" s="402">
        <v>300000</v>
      </c>
      <c r="D106" s="402">
        <v>300</v>
      </c>
      <c r="E106" s="402">
        <v>20</v>
      </c>
    </row>
    <row r="107" spans="1:5">
      <c r="A107" s="415">
        <v>47</v>
      </c>
      <c r="B107" s="406" t="s">
        <v>826</v>
      </c>
      <c r="C107" s="402">
        <v>300000</v>
      </c>
      <c r="D107" s="402">
        <v>300</v>
      </c>
      <c r="E107" s="402">
        <v>20</v>
      </c>
    </row>
    <row r="108" spans="1:5">
      <c r="A108" s="415">
        <v>48</v>
      </c>
      <c r="B108" s="406" t="s">
        <v>827</v>
      </c>
      <c r="C108" s="402">
        <v>300000</v>
      </c>
      <c r="D108" s="402">
        <v>300</v>
      </c>
      <c r="E108" s="402">
        <v>20</v>
      </c>
    </row>
    <row r="109" spans="1:5">
      <c r="A109" s="415">
        <v>49</v>
      </c>
      <c r="B109" s="406" t="s">
        <v>828</v>
      </c>
      <c r="C109" s="402">
        <v>300000</v>
      </c>
      <c r="D109" s="402">
        <v>300</v>
      </c>
      <c r="E109" s="402">
        <v>20</v>
      </c>
    </row>
    <row r="110" spans="1:5">
      <c r="A110" s="415">
        <v>50</v>
      </c>
      <c r="B110" s="406" t="s">
        <v>829</v>
      </c>
      <c r="C110" s="402">
        <v>100000</v>
      </c>
      <c r="D110" s="402">
        <v>100</v>
      </c>
      <c r="E110" s="402">
        <v>5</v>
      </c>
    </row>
    <row r="111" spans="1:5">
      <c r="A111" s="415">
        <v>51</v>
      </c>
      <c r="B111" s="406" t="s">
        <v>830</v>
      </c>
      <c r="C111" s="402">
        <v>100000</v>
      </c>
      <c r="D111" s="402">
        <v>100</v>
      </c>
      <c r="E111" s="402">
        <v>5</v>
      </c>
    </row>
    <row r="112" spans="1:5">
      <c r="A112" s="415">
        <v>52</v>
      </c>
      <c r="B112" s="406" t="s">
        <v>831</v>
      </c>
      <c r="C112" s="402">
        <v>100000</v>
      </c>
      <c r="D112" s="402">
        <v>100</v>
      </c>
      <c r="E112" s="402">
        <v>5</v>
      </c>
    </row>
    <row r="113" spans="1:5">
      <c r="A113" s="415">
        <v>53</v>
      </c>
      <c r="B113" s="406" t="s">
        <v>832</v>
      </c>
      <c r="C113" s="402">
        <v>100000</v>
      </c>
      <c r="D113" s="402">
        <v>100</v>
      </c>
      <c r="E113" s="402">
        <v>5</v>
      </c>
    </row>
    <row r="114" spans="1:5">
      <c r="A114" s="415">
        <v>54</v>
      </c>
      <c r="B114" s="406" t="s">
        <v>833</v>
      </c>
      <c r="C114" s="402">
        <v>100000</v>
      </c>
      <c r="D114" s="402">
        <v>100</v>
      </c>
      <c r="E114" s="402">
        <v>5</v>
      </c>
    </row>
    <row r="115" spans="1:5">
      <c r="A115" s="415">
        <v>55</v>
      </c>
      <c r="B115" s="406" t="s">
        <v>834</v>
      </c>
      <c r="C115" s="402">
        <v>100000</v>
      </c>
      <c r="D115" s="402">
        <v>100</v>
      </c>
      <c r="E115" s="402">
        <v>5</v>
      </c>
    </row>
    <row r="116" spans="1:5">
      <c r="A116" s="415">
        <v>56</v>
      </c>
      <c r="B116" s="407" t="s">
        <v>835</v>
      </c>
      <c r="C116" s="408">
        <v>50000</v>
      </c>
      <c r="D116" s="408">
        <v>50</v>
      </c>
      <c r="E116" s="408">
        <v>5</v>
      </c>
    </row>
    <row r="117" spans="1:5">
      <c r="A117" s="415">
        <v>57</v>
      </c>
      <c r="B117" s="407" t="s">
        <v>836</v>
      </c>
      <c r="C117" s="408">
        <v>50000</v>
      </c>
      <c r="D117" s="408">
        <v>50</v>
      </c>
      <c r="E117" s="408">
        <v>5</v>
      </c>
    </row>
    <row r="118" spans="1:5">
      <c r="A118" s="415">
        <v>58</v>
      </c>
      <c r="B118" s="407" t="s">
        <v>837</v>
      </c>
      <c r="C118" s="408">
        <v>50000</v>
      </c>
      <c r="D118" s="408">
        <v>50</v>
      </c>
      <c r="E118" s="408">
        <v>5</v>
      </c>
    </row>
    <row r="119" spans="1:5">
      <c r="A119" s="415">
        <v>59</v>
      </c>
      <c r="B119" s="407" t="s">
        <v>838</v>
      </c>
      <c r="C119" s="408">
        <v>50000</v>
      </c>
      <c r="D119" s="408">
        <v>50</v>
      </c>
      <c r="E119" s="408">
        <v>5</v>
      </c>
    </row>
    <row r="120" spans="1:5">
      <c r="A120" s="415">
        <v>60</v>
      </c>
      <c r="B120" s="407" t="s">
        <v>839</v>
      </c>
      <c r="C120" s="408">
        <v>50000</v>
      </c>
      <c r="D120" s="408">
        <v>50</v>
      </c>
      <c r="E120" s="408">
        <v>5</v>
      </c>
    </row>
    <row r="121" spans="1:5">
      <c r="A121" s="415">
        <v>61</v>
      </c>
      <c r="B121" s="407" t="s">
        <v>840</v>
      </c>
      <c r="C121" s="408">
        <v>50000</v>
      </c>
      <c r="D121" s="408">
        <v>50</v>
      </c>
      <c r="E121" s="408">
        <v>5</v>
      </c>
    </row>
    <row r="122" spans="1:5">
      <c r="A122" s="415">
        <v>62</v>
      </c>
      <c r="B122" s="406" t="s">
        <v>841</v>
      </c>
      <c r="C122" s="402">
        <v>300000</v>
      </c>
      <c r="D122" s="402">
        <v>300</v>
      </c>
      <c r="E122" s="402">
        <v>20</v>
      </c>
    </row>
    <row r="123" spans="1:5">
      <c r="A123" s="415">
        <v>63</v>
      </c>
      <c r="B123" s="406" t="s">
        <v>842</v>
      </c>
      <c r="C123" s="402">
        <v>300000</v>
      </c>
      <c r="D123" s="402">
        <v>300</v>
      </c>
      <c r="E123" s="402">
        <v>20</v>
      </c>
    </row>
    <row r="124" spans="1:5">
      <c r="A124" s="415">
        <v>64</v>
      </c>
      <c r="B124" s="406" t="s">
        <v>843</v>
      </c>
      <c r="C124" s="402">
        <v>300000</v>
      </c>
      <c r="D124" s="402">
        <v>300</v>
      </c>
      <c r="E124" s="402">
        <v>20</v>
      </c>
    </row>
    <row r="125" spans="1:5">
      <c r="A125" s="415">
        <v>65</v>
      </c>
      <c r="B125" s="406" t="s">
        <v>844</v>
      </c>
      <c r="C125" s="402">
        <v>300000</v>
      </c>
      <c r="D125" s="402">
        <v>300</v>
      </c>
      <c r="E125" s="402">
        <v>20</v>
      </c>
    </row>
    <row r="126" spans="1:5">
      <c r="A126" s="415">
        <v>66</v>
      </c>
      <c r="B126" s="406" t="s">
        <v>845</v>
      </c>
      <c r="C126" s="402">
        <v>300000</v>
      </c>
      <c r="D126" s="402">
        <v>300</v>
      </c>
      <c r="E126" s="402">
        <v>20</v>
      </c>
    </row>
    <row r="127" spans="1:5">
      <c r="A127" s="415">
        <v>67</v>
      </c>
      <c r="B127" s="406" t="s">
        <v>846</v>
      </c>
      <c r="C127" s="402">
        <v>300000</v>
      </c>
      <c r="D127" s="402">
        <v>300</v>
      </c>
      <c r="E127" s="402">
        <v>20</v>
      </c>
    </row>
    <row r="128" spans="1:5">
      <c r="A128" s="415">
        <v>68</v>
      </c>
      <c r="B128" s="406" t="s">
        <v>847</v>
      </c>
      <c r="C128" s="402">
        <v>300000</v>
      </c>
      <c r="D128" s="402">
        <v>300</v>
      </c>
      <c r="E128" s="402">
        <v>20</v>
      </c>
    </row>
    <row r="129" spans="1:5">
      <c r="A129" s="415">
        <v>69</v>
      </c>
      <c r="B129" s="406" t="s">
        <v>848</v>
      </c>
      <c r="C129" s="402">
        <v>300000</v>
      </c>
      <c r="D129" s="402">
        <v>300</v>
      </c>
      <c r="E129" s="402">
        <v>20</v>
      </c>
    </row>
    <row r="130" spans="1:5">
      <c r="A130" s="415">
        <v>690</v>
      </c>
      <c r="B130" s="406" t="s">
        <v>820</v>
      </c>
      <c r="C130" s="402">
        <v>300000</v>
      </c>
      <c r="D130" s="402">
        <v>300</v>
      </c>
      <c r="E130" s="402">
        <v>20</v>
      </c>
    </row>
    <row r="131" spans="1:5">
      <c r="A131" s="415">
        <v>691</v>
      </c>
      <c r="B131" s="406" t="s">
        <v>849</v>
      </c>
      <c r="C131" s="402">
        <v>300000</v>
      </c>
      <c r="D131" s="402">
        <v>300</v>
      </c>
      <c r="E131" s="402">
        <v>20</v>
      </c>
    </row>
    <row r="132" spans="1:5">
      <c r="A132" s="415">
        <v>692</v>
      </c>
      <c r="B132" s="406" t="s">
        <v>850</v>
      </c>
      <c r="C132" s="402">
        <v>300000</v>
      </c>
      <c r="D132" s="402">
        <v>300</v>
      </c>
      <c r="E132" s="402">
        <v>20</v>
      </c>
    </row>
    <row r="133" spans="1:5">
      <c r="A133" s="415">
        <v>693</v>
      </c>
      <c r="B133" s="406" t="s">
        <v>349</v>
      </c>
      <c r="C133" s="402">
        <v>50000</v>
      </c>
      <c r="D133" s="402">
        <v>100</v>
      </c>
      <c r="E133" s="402">
        <v>5</v>
      </c>
    </row>
    <row r="134" spans="1:5">
      <c r="A134" s="415">
        <v>694</v>
      </c>
      <c r="B134" s="406" t="s">
        <v>350</v>
      </c>
      <c r="C134" s="402">
        <v>300000</v>
      </c>
      <c r="D134" s="402">
        <v>300</v>
      </c>
      <c r="E134" s="402">
        <v>20</v>
      </c>
    </row>
    <row r="135" spans="1:5">
      <c r="A135" s="415">
        <v>70</v>
      </c>
      <c r="B135" s="406" t="s">
        <v>851</v>
      </c>
      <c r="C135" s="402">
        <v>50000</v>
      </c>
      <c r="D135" s="402">
        <v>100</v>
      </c>
      <c r="E135" s="402">
        <v>5</v>
      </c>
    </row>
    <row r="136" spans="1:5">
      <c r="A136" s="415">
        <v>71</v>
      </c>
      <c r="B136" s="406" t="s">
        <v>852</v>
      </c>
      <c r="C136" s="402">
        <v>50000</v>
      </c>
      <c r="D136" s="402">
        <v>100</v>
      </c>
      <c r="E136" s="402">
        <v>5</v>
      </c>
    </row>
    <row r="137" spans="1:5">
      <c r="A137" s="415">
        <v>72</v>
      </c>
      <c r="B137" s="406" t="s">
        <v>853</v>
      </c>
      <c r="C137" s="402">
        <v>50000</v>
      </c>
      <c r="D137" s="402">
        <v>100</v>
      </c>
      <c r="E137" s="402">
        <v>5</v>
      </c>
    </row>
    <row r="138" spans="1:5">
      <c r="A138" s="415">
        <v>73</v>
      </c>
      <c r="B138" s="406" t="s">
        <v>854</v>
      </c>
      <c r="C138" s="402">
        <v>50000</v>
      </c>
      <c r="D138" s="402">
        <v>100</v>
      </c>
      <c r="E138" s="402">
        <v>5</v>
      </c>
    </row>
    <row r="139" spans="1:5">
      <c r="A139" s="415">
        <v>74</v>
      </c>
      <c r="B139" s="406" t="s">
        <v>855</v>
      </c>
      <c r="C139" s="402">
        <v>50000</v>
      </c>
      <c r="D139" s="402">
        <v>100</v>
      </c>
      <c r="E139" s="402">
        <v>5</v>
      </c>
    </row>
    <row r="140" spans="1:5">
      <c r="A140" s="415">
        <v>75</v>
      </c>
      <c r="B140" s="406" t="s">
        <v>856</v>
      </c>
      <c r="C140" s="402">
        <v>50000</v>
      </c>
      <c r="D140" s="402">
        <v>100</v>
      </c>
      <c r="E140" s="402">
        <v>5</v>
      </c>
    </row>
    <row r="141" spans="1:5">
      <c r="A141" s="415">
        <v>76</v>
      </c>
      <c r="B141" s="407" t="s">
        <v>857</v>
      </c>
      <c r="C141" s="408">
        <v>50000</v>
      </c>
      <c r="D141" s="408">
        <v>50</v>
      </c>
      <c r="E141" s="408">
        <v>5</v>
      </c>
    </row>
    <row r="142" spans="1:5">
      <c r="A142" s="415">
        <v>77</v>
      </c>
      <c r="B142" s="407" t="s">
        <v>858</v>
      </c>
      <c r="C142" s="408">
        <v>50000</v>
      </c>
      <c r="D142" s="408">
        <v>50</v>
      </c>
      <c r="E142" s="408">
        <v>5</v>
      </c>
    </row>
    <row r="143" spans="1:5">
      <c r="A143" s="415">
        <v>78</v>
      </c>
      <c r="B143" s="406" t="s">
        <v>859</v>
      </c>
      <c r="C143" s="402">
        <v>50000</v>
      </c>
      <c r="D143" s="402">
        <v>100</v>
      </c>
      <c r="E143" s="402">
        <v>5</v>
      </c>
    </row>
    <row r="144" spans="1:5">
      <c r="A144" s="415">
        <v>79</v>
      </c>
      <c r="B144" s="406" t="s">
        <v>860</v>
      </c>
      <c r="C144" s="402">
        <v>50000</v>
      </c>
      <c r="D144" s="402">
        <v>100</v>
      </c>
      <c r="E144" s="402">
        <v>5</v>
      </c>
    </row>
    <row r="145" spans="1:5">
      <c r="A145" s="415">
        <v>80</v>
      </c>
      <c r="B145" s="406" t="s">
        <v>861</v>
      </c>
      <c r="C145" s="402">
        <v>50000</v>
      </c>
      <c r="D145" s="402">
        <v>100</v>
      </c>
      <c r="E145" s="402">
        <v>5</v>
      </c>
    </row>
    <row r="146" spans="1:5">
      <c r="A146" s="415">
        <v>81</v>
      </c>
      <c r="B146" s="406" t="s">
        <v>862</v>
      </c>
      <c r="C146" s="402">
        <v>50000</v>
      </c>
      <c r="D146" s="402">
        <v>100</v>
      </c>
      <c r="E146" s="402">
        <v>5</v>
      </c>
    </row>
    <row r="147" spans="1:5">
      <c r="A147" s="415">
        <v>82</v>
      </c>
      <c r="B147" s="406" t="s">
        <v>863</v>
      </c>
      <c r="C147" s="402">
        <v>50000</v>
      </c>
      <c r="D147" s="402">
        <v>100</v>
      </c>
      <c r="E147" s="402">
        <v>5</v>
      </c>
    </row>
    <row r="148" spans="1:5">
      <c r="A148" s="415">
        <v>83</v>
      </c>
      <c r="B148" s="406" t="s">
        <v>864</v>
      </c>
      <c r="C148" s="402">
        <v>50000</v>
      </c>
      <c r="D148" s="402">
        <v>100</v>
      </c>
      <c r="E148" s="402">
        <v>5</v>
      </c>
    </row>
    <row r="149" spans="1:5">
      <c r="A149" s="415">
        <v>84</v>
      </c>
      <c r="B149" s="406" t="s">
        <v>865</v>
      </c>
      <c r="C149" s="402">
        <v>50000</v>
      </c>
      <c r="D149" s="402">
        <v>100</v>
      </c>
      <c r="E149" s="402">
        <v>5</v>
      </c>
    </row>
    <row r="150" spans="1:5">
      <c r="A150" s="415">
        <v>85</v>
      </c>
      <c r="B150" s="406" t="s">
        <v>866</v>
      </c>
      <c r="C150" s="402">
        <v>50000</v>
      </c>
      <c r="D150" s="402">
        <v>100</v>
      </c>
      <c r="E150" s="402">
        <v>5</v>
      </c>
    </row>
    <row r="151" spans="1:5">
      <c r="A151" s="415">
        <v>86</v>
      </c>
      <c r="B151" s="406" t="s">
        <v>867</v>
      </c>
      <c r="C151" s="402">
        <v>50000</v>
      </c>
      <c r="D151" s="402">
        <v>100</v>
      </c>
      <c r="E151" s="402">
        <v>5</v>
      </c>
    </row>
    <row r="152" spans="1:5">
      <c r="A152" s="415">
        <v>87</v>
      </c>
      <c r="B152" s="406" t="s">
        <v>868</v>
      </c>
      <c r="C152" s="402">
        <v>50000</v>
      </c>
      <c r="D152" s="402">
        <v>100</v>
      </c>
      <c r="E152" s="402">
        <v>5</v>
      </c>
    </row>
    <row r="153" spans="1:5">
      <c r="A153" s="415">
        <v>88</v>
      </c>
      <c r="B153" s="406" t="s">
        <v>869</v>
      </c>
      <c r="C153" s="402">
        <v>50000</v>
      </c>
      <c r="D153" s="402">
        <v>100</v>
      </c>
      <c r="E153" s="402">
        <v>5</v>
      </c>
    </row>
    <row r="154" spans="1:5">
      <c r="A154" s="415">
        <v>89</v>
      </c>
      <c r="B154" s="406" t="s">
        <v>870</v>
      </c>
      <c r="C154" s="402">
        <v>50000</v>
      </c>
      <c r="D154" s="402">
        <v>100</v>
      </c>
      <c r="E154" s="402">
        <v>5</v>
      </c>
    </row>
    <row r="155" spans="1:5">
      <c r="A155" s="415">
        <v>90</v>
      </c>
      <c r="B155" s="406" t="s">
        <v>871</v>
      </c>
      <c r="C155" s="402">
        <v>50000</v>
      </c>
      <c r="D155" s="402">
        <v>100</v>
      </c>
      <c r="E155" s="402">
        <v>5</v>
      </c>
    </row>
    <row r="156" spans="1:5">
      <c r="A156" s="415">
        <v>91</v>
      </c>
      <c r="B156" s="406" t="s">
        <v>872</v>
      </c>
      <c r="C156" s="402">
        <v>50000</v>
      </c>
      <c r="D156" s="402">
        <v>100</v>
      </c>
      <c r="E156" s="402">
        <v>5</v>
      </c>
    </row>
    <row r="157" spans="1:5">
      <c r="A157" s="415">
        <v>92</v>
      </c>
      <c r="B157" s="406" t="s">
        <v>873</v>
      </c>
      <c r="C157" s="402">
        <v>50000</v>
      </c>
      <c r="D157" s="402">
        <v>100</v>
      </c>
      <c r="E157" s="402">
        <v>5</v>
      </c>
    </row>
    <row r="158" spans="1:5">
      <c r="A158" s="415">
        <v>93</v>
      </c>
      <c r="B158" s="406" t="s">
        <v>874</v>
      </c>
      <c r="C158" s="402">
        <v>50000</v>
      </c>
      <c r="D158" s="402">
        <v>100</v>
      </c>
      <c r="E158" s="402">
        <v>5</v>
      </c>
    </row>
    <row r="159" spans="1:5">
      <c r="A159" s="415">
        <v>94</v>
      </c>
      <c r="B159" s="406" t="s">
        <v>875</v>
      </c>
      <c r="C159" s="402">
        <v>50000</v>
      </c>
      <c r="D159" s="402">
        <v>100</v>
      </c>
      <c r="E159" s="402">
        <v>5</v>
      </c>
    </row>
    <row r="160" spans="1:5">
      <c r="A160" s="415">
        <v>95</v>
      </c>
      <c r="B160" s="406" t="s">
        <v>876</v>
      </c>
      <c r="C160" s="402">
        <v>50000</v>
      </c>
      <c r="D160" s="402">
        <v>100</v>
      </c>
      <c r="E160" s="402">
        <v>5</v>
      </c>
    </row>
    <row r="161" spans="1:5">
      <c r="A161" s="415">
        <v>96</v>
      </c>
      <c r="B161" s="406" t="s">
        <v>877</v>
      </c>
      <c r="C161" s="402">
        <v>50000</v>
      </c>
      <c r="D161" s="402">
        <v>100</v>
      </c>
      <c r="E161" s="402">
        <v>5</v>
      </c>
    </row>
    <row r="162" spans="1:5">
      <c r="A162" s="415">
        <v>97</v>
      </c>
      <c r="B162" s="406" t="s">
        <v>878</v>
      </c>
      <c r="C162" s="402">
        <v>300000</v>
      </c>
      <c r="D162" s="402">
        <v>300</v>
      </c>
      <c r="E162" s="402">
        <v>20</v>
      </c>
    </row>
    <row r="163" spans="1:5">
      <c r="A163" s="415">
        <v>98</v>
      </c>
      <c r="B163" s="406" t="s">
        <v>879</v>
      </c>
      <c r="C163" s="402">
        <v>300000</v>
      </c>
      <c r="D163" s="402">
        <v>300</v>
      </c>
      <c r="E163" s="402">
        <v>20</v>
      </c>
    </row>
    <row r="164" spans="1:5">
      <c r="A164" s="415">
        <v>99</v>
      </c>
      <c r="B164" s="406" t="s">
        <v>880</v>
      </c>
      <c r="C164" s="402">
        <v>300000</v>
      </c>
      <c r="D164" s="402">
        <v>300</v>
      </c>
      <c r="E164" s="402">
        <v>20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AS306"/>
  <sheetViews>
    <sheetView showGridLines="0" view="pageBreakPreview" zoomScaleNormal="100" zoomScaleSheetLayoutView="100" workbookViewId="0">
      <selection activeCell="C112" sqref="C112:J112"/>
    </sheetView>
  </sheetViews>
  <sheetFormatPr defaultColWidth="9" defaultRowHeight="13"/>
  <cols>
    <col min="1" max="1" width="0.5" style="1" customWidth="1"/>
    <col min="2" max="2" width="3.25" style="1" customWidth="1"/>
    <col min="3" max="4" width="3.08203125" style="1" customWidth="1"/>
    <col min="5" max="5" width="3" style="1" customWidth="1"/>
    <col min="6" max="8" width="3.25" style="1" customWidth="1"/>
    <col min="9" max="9" width="3.58203125" style="1" customWidth="1"/>
    <col min="10" max="10" width="3.08203125" style="1" customWidth="1"/>
    <col min="11" max="11" width="4.25" style="1" customWidth="1"/>
    <col min="12" max="12" width="6.25" style="1" customWidth="1"/>
    <col min="13" max="13" width="3.08203125" style="1" customWidth="1"/>
    <col min="14" max="14" width="3.75" style="1" customWidth="1"/>
    <col min="15" max="15" width="3.25" style="1" customWidth="1"/>
    <col min="16" max="17" width="2.75" style="1" customWidth="1"/>
    <col min="18" max="18" width="3.58203125" style="1" customWidth="1"/>
    <col min="19" max="22" width="3.25" style="1" customWidth="1"/>
    <col min="23" max="23" width="3.58203125" style="1" customWidth="1"/>
    <col min="24" max="24" width="3.08203125" style="1" customWidth="1"/>
    <col min="25" max="25" width="2.58203125" style="1" customWidth="1"/>
    <col min="26" max="26" width="2.75" style="1" customWidth="1"/>
    <col min="27" max="27" width="2.58203125" style="1" customWidth="1"/>
    <col min="28" max="28" width="0.5" style="1" customWidth="1"/>
    <col min="29" max="29" width="4.75" style="53" customWidth="1"/>
    <col min="30" max="30" width="3.08203125" style="326" customWidth="1"/>
    <col min="31" max="34" width="3.08203125" style="302" customWidth="1"/>
    <col min="35" max="35" width="3.08203125" style="303" customWidth="1"/>
    <col min="36" max="36" width="10.25" style="304" customWidth="1"/>
    <col min="37" max="38" width="6.75" style="304" customWidth="1"/>
    <col min="39" max="39" width="5.08203125" style="304" customWidth="1"/>
    <col min="40" max="40" width="5.08203125" style="53" customWidth="1"/>
    <col min="41" max="41" width="5.08203125" style="1" customWidth="1"/>
    <col min="42" max="16384" width="9" style="1"/>
  </cols>
  <sheetData>
    <row r="1" spans="2:40" ht="5.25" customHeight="1">
      <c r="U1" s="778">
        <f>Q12</f>
        <v>0</v>
      </c>
      <c r="V1" s="779"/>
      <c r="W1" s="779"/>
      <c r="X1" s="779"/>
      <c r="Y1" s="779"/>
      <c r="Z1" s="779"/>
      <c r="AA1" s="779"/>
    </row>
    <row r="2" spans="2:40" ht="11.25" customHeight="1">
      <c r="B2" s="4" t="s">
        <v>575</v>
      </c>
    </row>
    <row r="3" spans="2:40" ht="18.75" hidden="1" customHeight="1">
      <c r="U3" s="905" t="s">
        <v>19</v>
      </c>
      <c r="V3" s="905"/>
      <c r="W3" s="905"/>
      <c r="X3" s="905"/>
      <c r="Y3" s="905"/>
      <c r="Z3" s="905"/>
      <c r="AA3" s="905"/>
    </row>
    <row r="4" spans="2:40" ht="18.75" hidden="1" customHeight="1">
      <c r="U4" s="906" t="s">
        <v>9</v>
      </c>
      <c r="V4" s="906"/>
      <c r="W4" s="906"/>
      <c r="X4" s="575"/>
      <c r="Y4" s="575"/>
      <c r="Z4" s="575"/>
      <c r="AA4" s="575"/>
    </row>
    <row r="5" spans="2:40" ht="18.75" customHeight="1">
      <c r="R5" s="49" t="s">
        <v>257</v>
      </c>
      <c r="U5" s="545"/>
      <c r="V5" s="574"/>
      <c r="W5" s="1" t="s">
        <v>112</v>
      </c>
      <c r="X5" s="169"/>
      <c r="Y5" s="1" t="s">
        <v>113</v>
      </c>
      <c r="Z5" s="169"/>
      <c r="AA5" s="1" t="s">
        <v>5</v>
      </c>
      <c r="AD5" s="326">
        <v>4</v>
      </c>
      <c r="AE5" s="302">
        <v>1</v>
      </c>
      <c r="AF5" s="302">
        <v>1</v>
      </c>
    </row>
    <row r="6" spans="2:40" ht="3.65" customHeight="1">
      <c r="AD6" s="326">
        <v>5</v>
      </c>
      <c r="AE6" s="302">
        <v>2</v>
      </c>
      <c r="AF6" s="302">
        <v>2</v>
      </c>
    </row>
    <row r="7" spans="2:40" ht="15.75" customHeight="1">
      <c r="B7" s="1" t="s">
        <v>6</v>
      </c>
      <c r="AD7" s="326">
        <v>6</v>
      </c>
      <c r="AE7" s="302">
        <v>3</v>
      </c>
      <c r="AF7" s="302">
        <v>3</v>
      </c>
    </row>
    <row r="8" spans="2:40" ht="15.75" customHeight="1">
      <c r="C8" s="1" t="s">
        <v>7</v>
      </c>
      <c r="AD8" s="326">
        <v>7</v>
      </c>
      <c r="AE8" s="302">
        <v>4</v>
      </c>
      <c r="AF8" s="302">
        <v>4</v>
      </c>
    </row>
    <row r="9" spans="2:40" ht="3.65" customHeight="1">
      <c r="AD9" s="326">
        <v>8</v>
      </c>
      <c r="AE9" s="302">
        <v>5</v>
      </c>
      <c r="AF9" s="302">
        <v>5</v>
      </c>
    </row>
    <row r="10" spans="2:40" ht="16.5" customHeight="1">
      <c r="L10" s="1" t="s">
        <v>12</v>
      </c>
      <c r="Q10" s="34" t="s">
        <v>258</v>
      </c>
      <c r="R10" s="917">
        <f>F80</f>
        <v>0</v>
      </c>
      <c r="S10" s="673"/>
      <c r="T10" s="673"/>
      <c r="U10" s="673"/>
      <c r="V10" s="673"/>
      <c r="W10" s="673"/>
      <c r="X10"/>
      <c r="Y10"/>
      <c r="Z10"/>
      <c r="AA10" s="51"/>
      <c r="AE10" s="302">
        <v>6</v>
      </c>
      <c r="AF10" s="302">
        <v>6</v>
      </c>
    </row>
    <row r="11" spans="2:40" ht="37.9" customHeight="1">
      <c r="C11" s="907" t="str">
        <f>IF(OR(O41="技術区分の選択不備 ①～③の中から１つ選択ください",
B50="　※事業区分／申請者区分（該当区分をＡ～Ｅの中から１つのみ選択して「○」印をつけてください",
AND(B57="↑選択必須",B56=""),
AND(B58="↑選択不可",B56=""),
O77="※ ソフトウエアＢは [ＤＸ推進] 区分のみ購入可能です／修正ください！",
X104="不一致 NG",
機械設備計画!AG16="ｿﾌﾄｳｪｱ申請額下限額未満",
機械設備計画!AG17="ソフトウエアＢは購入不可"),
"※未記入／未選択または不備の個所があります。見直し・確認をお願いします","")</f>
        <v/>
      </c>
      <c r="D11" s="908"/>
      <c r="E11" s="908"/>
      <c r="F11" s="908"/>
      <c r="G11" s="908"/>
      <c r="H11" s="908"/>
      <c r="I11" s="908"/>
      <c r="J11" s="908"/>
      <c r="Q11" s="915">
        <f>E81</f>
        <v>0</v>
      </c>
      <c r="R11" s="916"/>
      <c r="S11" s="916"/>
      <c r="T11" s="916"/>
      <c r="U11" s="916"/>
      <c r="V11" s="916"/>
      <c r="W11" s="916"/>
      <c r="X11" s="916"/>
      <c r="Y11" s="916"/>
      <c r="Z11" s="916"/>
      <c r="AA11" s="916"/>
      <c r="AE11" s="302">
        <v>7</v>
      </c>
      <c r="AF11" s="302">
        <v>7</v>
      </c>
    </row>
    <row r="12" spans="2:40" ht="27" customHeight="1">
      <c r="C12" s="908"/>
      <c r="D12" s="908"/>
      <c r="E12" s="908"/>
      <c r="F12" s="908"/>
      <c r="G12" s="908"/>
      <c r="H12" s="908"/>
      <c r="I12" s="908"/>
      <c r="J12" s="908"/>
      <c r="L12" s="1" t="s">
        <v>10</v>
      </c>
      <c r="Q12" s="917">
        <f>E78</f>
        <v>0</v>
      </c>
      <c r="R12" s="916"/>
      <c r="S12" s="916"/>
      <c r="T12" s="916"/>
      <c r="U12" s="916"/>
      <c r="V12" s="916"/>
      <c r="W12" s="916"/>
      <c r="X12" s="916"/>
      <c r="Y12" s="916"/>
      <c r="Z12" s="916"/>
      <c r="AA12" s="916"/>
      <c r="AE12" s="302">
        <v>8</v>
      </c>
      <c r="AF12" s="302">
        <v>8</v>
      </c>
    </row>
    <row r="13" spans="2:40" ht="19.5" customHeight="1">
      <c r="L13" s="1" t="s">
        <v>11</v>
      </c>
      <c r="Q13" s="674">
        <f>E79</f>
        <v>0</v>
      </c>
      <c r="R13" s="918"/>
      <c r="S13" s="918"/>
      <c r="T13" s="918"/>
      <c r="U13" s="918"/>
      <c r="V13" s="918"/>
      <c r="W13" s="918"/>
      <c r="X13" s="918"/>
      <c r="Y13" s="918"/>
      <c r="Z13" s="52"/>
      <c r="AA13" s="52"/>
      <c r="AE13" s="302">
        <v>9</v>
      </c>
      <c r="AF13" s="302">
        <v>9</v>
      </c>
    </row>
    <row r="14" spans="2:40" ht="4.1500000000000004" customHeight="1">
      <c r="AE14" s="302">
        <v>10</v>
      </c>
      <c r="AF14" s="302">
        <v>10</v>
      </c>
    </row>
    <row r="15" spans="2:40" ht="4.1500000000000004" customHeight="1">
      <c r="AE15" s="302">
        <v>11</v>
      </c>
      <c r="AF15" s="302">
        <v>11</v>
      </c>
    </row>
    <row r="16" spans="2:40" ht="14">
      <c r="D16" s="607" t="s">
        <v>1205</v>
      </c>
      <c r="AC16" s="1"/>
      <c r="AE16" s="302">
        <v>12</v>
      </c>
      <c r="AF16" s="302">
        <v>12</v>
      </c>
      <c r="AG16" s="326"/>
      <c r="AH16" s="2"/>
      <c r="AI16" s="419"/>
      <c r="AJ16" s="34"/>
      <c r="AK16" s="34"/>
      <c r="AL16" s="34"/>
      <c r="AM16" s="34"/>
      <c r="AN16" s="1"/>
    </row>
    <row r="17" spans="2:40" ht="9.75" customHeight="1">
      <c r="AF17" s="302">
        <v>13</v>
      </c>
    </row>
    <row r="18" spans="2:40">
      <c r="E18" s="1" t="s">
        <v>13</v>
      </c>
      <c r="AF18" s="302">
        <v>14</v>
      </c>
    </row>
    <row r="19" spans="2:40" ht="10.5" customHeight="1">
      <c r="AF19" s="302">
        <v>15</v>
      </c>
    </row>
    <row r="20" spans="2:40">
      <c r="M20" s="1" t="s">
        <v>14</v>
      </c>
      <c r="AF20" s="302">
        <v>16</v>
      </c>
    </row>
    <row r="21" spans="2:40" ht="9.75" customHeight="1">
      <c r="AF21" s="302">
        <v>17</v>
      </c>
    </row>
    <row r="22" spans="2:40" ht="18" customHeight="1" thickBot="1">
      <c r="B22" s="6" t="s">
        <v>15</v>
      </c>
      <c r="C22" s="7" t="s">
        <v>16</v>
      </c>
      <c r="D22" s="7"/>
      <c r="E22" s="7"/>
      <c r="F22" s="7"/>
      <c r="G22" s="7"/>
      <c r="H22" s="9"/>
      <c r="X22" s="780" t="s">
        <v>552</v>
      </c>
      <c r="Y22" s="781"/>
      <c r="Z22" s="781"/>
      <c r="AA22" s="781"/>
      <c r="AF22" s="302">
        <v>18</v>
      </c>
    </row>
    <row r="23" spans="2:40" ht="21.65" customHeight="1" thickBot="1">
      <c r="B23" s="919"/>
      <c r="C23" s="920"/>
      <c r="D23" s="920"/>
      <c r="E23" s="920"/>
      <c r="F23" s="920"/>
      <c r="G23" s="920"/>
      <c r="H23" s="920"/>
      <c r="I23" s="920"/>
      <c r="J23" s="920"/>
      <c r="K23" s="920"/>
      <c r="L23" s="920"/>
      <c r="M23" s="920"/>
      <c r="N23" s="920"/>
      <c r="O23" s="920"/>
      <c r="P23" s="920"/>
      <c r="Q23" s="920"/>
      <c r="R23" s="920"/>
      <c r="S23" s="920"/>
      <c r="T23" s="920"/>
      <c r="U23" s="920"/>
      <c r="V23" s="920"/>
      <c r="W23" s="920"/>
      <c r="X23" s="920"/>
      <c r="Y23" s="920"/>
      <c r="Z23" s="921"/>
      <c r="AA23" s="337">
        <f>LEN(B23)</f>
        <v>0</v>
      </c>
      <c r="AF23" s="302">
        <v>19</v>
      </c>
    </row>
    <row r="24" spans="2:40" ht="3.65" customHeight="1">
      <c r="AF24" s="302">
        <v>20</v>
      </c>
    </row>
    <row r="25" spans="2:40" ht="3.65" customHeight="1">
      <c r="G25" s="48"/>
      <c r="AF25" s="302">
        <v>21</v>
      </c>
    </row>
    <row r="26" spans="2:40" ht="19.5" customHeight="1">
      <c r="B26" s="6" t="s">
        <v>17</v>
      </c>
      <c r="C26" s="7" t="s">
        <v>250</v>
      </c>
      <c r="D26" s="7"/>
      <c r="E26" s="7"/>
      <c r="F26" s="7"/>
      <c r="G26" s="7"/>
      <c r="H26" s="7"/>
      <c r="I26" s="7"/>
      <c r="J26" s="7"/>
      <c r="K26" s="7"/>
      <c r="L26" s="7"/>
      <c r="M26" s="7"/>
      <c r="N26" s="7"/>
      <c r="O26" s="7"/>
      <c r="P26" s="7"/>
      <c r="Q26" s="7"/>
      <c r="R26" s="7"/>
      <c r="S26" s="7"/>
      <c r="T26" s="10"/>
      <c r="U26" s="5"/>
      <c r="V26" s="5"/>
      <c r="AF26" s="302">
        <v>22</v>
      </c>
    </row>
    <row r="27" spans="2:40" ht="25.5" customHeight="1">
      <c r="B27" s="6"/>
      <c r="C27" s="933" t="s">
        <v>1150</v>
      </c>
      <c r="D27" s="934"/>
      <c r="E27" s="934"/>
      <c r="F27" s="934"/>
      <c r="G27" s="934"/>
      <c r="H27" s="934"/>
      <c r="I27" s="934"/>
      <c r="J27" s="934"/>
      <c r="K27" s="934"/>
      <c r="L27" s="934"/>
      <c r="M27" s="934"/>
      <c r="N27" s="934"/>
      <c r="O27" s="934"/>
      <c r="P27" s="934"/>
      <c r="Q27" s="934"/>
      <c r="R27" s="934"/>
      <c r="S27" s="934"/>
      <c r="T27" s="934"/>
      <c r="U27" s="934"/>
      <c r="V27" s="934"/>
      <c r="W27" s="934"/>
      <c r="X27" s="934"/>
      <c r="Y27" s="934"/>
      <c r="Z27" s="934"/>
      <c r="AA27" s="934"/>
      <c r="AF27" s="302">
        <v>23</v>
      </c>
    </row>
    <row r="28" spans="2:40" ht="19.5" customHeight="1">
      <c r="B28" s="180" t="s">
        <v>506</v>
      </c>
      <c r="C28" s="709" t="s">
        <v>504</v>
      </c>
      <c r="D28" s="709"/>
      <c r="E28" s="709"/>
      <c r="F28" s="709"/>
      <c r="G28" s="709"/>
      <c r="H28" s="709"/>
      <c r="I28" s="709" t="s">
        <v>505</v>
      </c>
      <c r="J28" s="709"/>
      <c r="K28" s="709"/>
      <c r="L28" s="709"/>
      <c r="M28" s="709"/>
      <c r="N28" s="709"/>
      <c r="O28" s="922"/>
      <c r="P28" s="922"/>
      <c r="Q28" s="922"/>
      <c r="R28" s="922"/>
      <c r="S28" s="922"/>
      <c r="T28" s="922"/>
      <c r="U28" s="922"/>
      <c r="V28" s="922"/>
      <c r="W28" s="922"/>
      <c r="X28" s="922"/>
      <c r="Y28" s="922"/>
      <c r="Z28" s="922"/>
      <c r="AA28" s="922"/>
      <c r="AF28" s="302">
        <v>24</v>
      </c>
    </row>
    <row r="29" spans="2:40" ht="19.5" customHeight="1">
      <c r="B29" s="181"/>
      <c r="C29" s="1031" t="s">
        <v>251</v>
      </c>
      <c r="D29" s="1036" t="s">
        <v>1059</v>
      </c>
      <c r="E29" s="1037"/>
      <c r="F29" s="1037"/>
      <c r="G29" s="1037"/>
      <c r="H29" s="1038"/>
      <c r="I29" s="1023" t="s">
        <v>929</v>
      </c>
      <c r="J29" s="50" t="s">
        <v>927</v>
      </c>
      <c r="K29" s="18" t="s">
        <v>925</v>
      </c>
      <c r="L29" s="109"/>
      <c r="M29" s="109"/>
      <c r="N29" s="110"/>
      <c r="O29" s="83" t="s">
        <v>254</v>
      </c>
      <c r="P29" s="83"/>
      <c r="Q29" s="18"/>
      <c r="R29" s="18"/>
      <c r="S29" s="18"/>
      <c r="T29" s="18"/>
      <c r="U29" s="18"/>
      <c r="V29" s="18"/>
      <c r="W29" s="18"/>
      <c r="X29" s="18"/>
      <c r="Y29" s="18"/>
      <c r="Z29" s="1008" t="s">
        <v>247</v>
      </c>
      <c r="AA29" s="1008"/>
      <c r="AF29" s="302">
        <v>25</v>
      </c>
    </row>
    <row r="30" spans="2:40" ht="19.5" customHeight="1">
      <c r="B30" s="181"/>
      <c r="C30" s="1032"/>
      <c r="D30" s="1039"/>
      <c r="E30" s="1040"/>
      <c r="F30" s="1040"/>
      <c r="G30" s="1040"/>
      <c r="H30" s="1041"/>
      <c r="I30" s="1024"/>
      <c r="J30" s="50" t="s">
        <v>993</v>
      </c>
      <c r="K30" s="566" t="s">
        <v>1071</v>
      </c>
      <c r="L30" s="109"/>
      <c r="M30" s="109"/>
      <c r="N30" s="110"/>
      <c r="O30" s="297" t="s">
        <v>952</v>
      </c>
      <c r="P30" s="83"/>
      <c r="Q30" s="18"/>
      <c r="R30" s="18"/>
      <c r="S30" s="18"/>
      <c r="T30" s="18"/>
      <c r="U30" s="18"/>
      <c r="V30" s="18"/>
      <c r="W30" s="18"/>
      <c r="X30" s="18"/>
      <c r="Y30" s="18"/>
      <c r="Z30" s="1008"/>
      <c r="AA30" s="1008"/>
      <c r="AF30" s="302">
        <v>26</v>
      </c>
    </row>
    <row r="31" spans="2:40" s="563" customFormat="1" ht="19.5" customHeight="1">
      <c r="B31" s="181"/>
      <c r="C31" s="1032"/>
      <c r="D31" s="1039"/>
      <c r="E31" s="1040"/>
      <c r="F31" s="1040"/>
      <c r="G31" s="1040"/>
      <c r="H31" s="1041"/>
      <c r="I31" s="1024"/>
      <c r="J31" s="50" t="s">
        <v>1075</v>
      </c>
      <c r="K31" s="173" t="s">
        <v>1072</v>
      </c>
      <c r="L31" s="564"/>
      <c r="M31" s="564"/>
      <c r="N31" s="565"/>
      <c r="O31" s="173" t="s">
        <v>952</v>
      </c>
      <c r="P31" s="18"/>
      <c r="Q31" s="18"/>
      <c r="R31" s="18"/>
      <c r="S31" s="18"/>
      <c r="T31" s="18"/>
      <c r="U31" s="18"/>
      <c r="V31" s="18"/>
      <c r="W31" s="18"/>
      <c r="X31" s="18"/>
      <c r="Y31" s="18"/>
      <c r="Z31" s="1008"/>
      <c r="AA31" s="1008"/>
      <c r="AC31" s="53"/>
      <c r="AD31" s="326"/>
      <c r="AE31" s="302"/>
      <c r="AF31" s="302">
        <v>27</v>
      </c>
      <c r="AG31" s="302"/>
      <c r="AH31" s="302"/>
      <c r="AI31" s="303"/>
      <c r="AJ31" s="304"/>
      <c r="AK31" s="304"/>
      <c r="AL31" s="304"/>
      <c r="AM31" s="304"/>
      <c r="AN31" s="53"/>
    </row>
    <row r="32" spans="2:40" ht="19.5" customHeight="1">
      <c r="B32" s="181"/>
      <c r="C32" s="1032"/>
      <c r="D32" s="1039"/>
      <c r="E32" s="1040"/>
      <c r="F32" s="1040"/>
      <c r="G32" s="1040"/>
      <c r="H32" s="1041"/>
      <c r="I32" s="1025"/>
      <c r="J32" s="50" t="s">
        <v>1103</v>
      </c>
      <c r="K32" s="297" t="s">
        <v>998</v>
      </c>
      <c r="L32" s="448"/>
      <c r="M32" s="448"/>
      <c r="N32" s="449"/>
      <c r="O32" s="297" t="s">
        <v>1021</v>
      </c>
      <c r="P32" s="18"/>
      <c r="Q32" s="18"/>
      <c r="R32" s="18"/>
      <c r="S32" s="18"/>
      <c r="T32" s="18"/>
      <c r="U32" s="18"/>
      <c r="V32" s="18"/>
      <c r="W32" s="18"/>
      <c r="X32" s="18"/>
      <c r="Y32" s="18"/>
      <c r="Z32" s="1008"/>
      <c r="AA32" s="1008"/>
      <c r="AF32" s="302">
        <v>28</v>
      </c>
    </row>
    <row r="33" spans="2:40" ht="19.5" customHeight="1">
      <c r="B33" s="181"/>
      <c r="C33" s="1032"/>
      <c r="D33" s="1039"/>
      <c r="E33" s="1040"/>
      <c r="F33" s="1040"/>
      <c r="G33" s="1040"/>
      <c r="H33" s="1041"/>
      <c r="I33" s="1026" t="s">
        <v>930</v>
      </c>
      <c r="J33" s="182" t="s">
        <v>928</v>
      </c>
      <c r="K33" s="182" t="s">
        <v>926</v>
      </c>
      <c r="L33" s="597"/>
      <c r="M33" s="597"/>
      <c r="N33" s="598"/>
      <c r="O33" s="83" t="s">
        <v>1151</v>
      </c>
      <c r="P33" s="83"/>
      <c r="Q33" s="83"/>
      <c r="R33" s="83"/>
      <c r="S33" s="83"/>
      <c r="T33" s="83"/>
      <c r="U33" s="83"/>
      <c r="V33" s="83"/>
      <c r="W33" s="83"/>
      <c r="X33" s="83"/>
      <c r="Y33" s="18"/>
      <c r="Z33" s="1008"/>
      <c r="AA33" s="1008"/>
      <c r="AF33" s="302">
        <v>29</v>
      </c>
    </row>
    <row r="34" spans="2:40" ht="19.5" customHeight="1">
      <c r="B34" s="181"/>
      <c r="C34" s="1032"/>
      <c r="D34" s="1039"/>
      <c r="E34" s="1040"/>
      <c r="F34" s="1040"/>
      <c r="G34" s="1040"/>
      <c r="H34" s="1041"/>
      <c r="I34" s="1027"/>
      <c r="J34" s="182" t="s">
        <v>994</v>
      </c>
      <c r="K34" s="488" t="s">
        <v>1073</v>
      </c>
      <c r="L34" s="597"/>
      <c r="M34" s="597"/>
      <c r="N34" s="598"/>
      <c r="O34" s="297" t="s">
        <v>952</v>
      </c>
      <c r="P34" s="83"/>
      <c r="Q34" s="83"/>
      <c r="R34" s="83"/>
      <c r="S34" s="83"/>
      <c r="T34" s="83"/>
      <c r="U34" s="83"/>
      <c r="V34" s="83"/>
      <c r="W34" s="83"/>
      <c r="X34" s="83"/>
      <c r="Y34" s="18"/>
      <c r="Z34" s="1008"/>
      <c r="AA34" s="1008"/>
      <c r="AF34" s="302">
        <v>30</v>
      </c>
    </row>
    <row r="35" spans="2:40" s="563" customFormat="1" ht="19.5" customHeight="1">
      <c r="B35" s="181"/>
      <c r="C35" s="1032"/>
      <c r="D35" s="1039"/>
      <c r="E35" s="1040"/>
      <c r="F35" s="1040"/>
      <c r="G35" s="1040"/>
      <c r="H35" s="1041"/>
      <c r="I35" s="1027"/>
      <c r="J35" s="182" t="s">
        <v>995</v>
      </c>
      <c r="K35" s="488" t="s">
        <v>1074</v>
      </c>
      <c r="L35" s="597"/>
      <c r="M35" s="597"/>
      <c r="N35" s="598"/>
      <c r="O35" s="297" t="s">
        <v>952</v>
      </c>
      <c r="P35" s="83"/>
      <c r="Q35" s="83"/>
      <c r="R35" s="83"/>
      <c r="S35" s="83"/>
      <c r="T35" s="83"/>
      <c r="U35" s="83"/>
      <c r="V35" s="83"/>
      <c r="W35" s="83"/>
      <c r="X35" s="83"/>
      <c r="Y35" s="18"/>
      <c r="Z35" s="1008"/>
      <c r="AA35" s="1008"/>
      <c r="AC35" s="53"/>
      <c r="AD35" s="326"/>
      <c r="AE35" s="302"/>
      <c r="AF35" s="302">
        <v>31</v>
      </c>
      <c r="AG35" s="302"/>
      <c r="AH35" s="302"/>
      <c r="AI35" s="303"/>
      <c r="AJ35" s="304"/>
      <c r="AK35" s="304"/>
      <c r="AL35" s="304"/>
      <c r="AM35" s="304"/>
      <c r="AN35" s="53"/>
    </row>
    <row r="36" spans="2:40" ht="19.5" customHeight="1">
      <c r="B36" s="181"/>
      <c r="C36" s="1032"/>
      <c r="D36" s="1039"/>
      <c r="E36" s="1040"/>
      <c r="F36" s="1040"/>
      <c r="G36" s="1040"/>
      <c r="H36" s="1041"/>
      <c r="I36" s="1028"/>
      <c r="J36" s="182" t="s">
        <v>1175</v>
      </c>
      <c r="K36" s="488" t="s">
        <v>997</v>
      </c>
      <c r="L36" s="599"/>
      <c r="M36" s="599"/>
      <c r="N36" s="600"/>
      <c r="O36" s="601" t="s">
        <v>1152</v>
      </c>
      <c r="P36" s="624"/>
      <c r="Q36" s="584"/>
      <c r="R36" s="584"/>
      <c r="S36" s="584"/>
      <c r="T36" s="584"/>
      <c r="U36" s="584"/>
      <c r="V36" s="584"/>
      <c r="W36" s="584"/>
      <c r="X36" s="584"/>
      <c r="Y36" s="579"/>
      <c r="Z36" s="1008"/>
      <c r="AA36" s="1008"/>
      <c r="AD36" s="454" t="s">
        <v>409</v>
      </c>
    </row>
    <row r="37" spans="2:40" s="578" customFormat="1" ht="19.5" customHeight="1">
      <c r="B37" s="489"/>
      <c r="C37" s="1033"/>
      <c r="D37" s="1042"/>
      <c r="E37" s="1043"/>
      <c r="F37" s="1043"/>
      <c r="G37" s="1043"/>
      <c r="H37" s="1044"/>
      <c r="I37" s="602" t="s">
        <v>1133</v>
      </c>
      <c r="J37" s="603" t="s">
        <v>1134</v>
      </c>
      <c r="K37" s="604"/>
      <c r="L37" s="604"/>
      <c r="M37" s="604"/>
      <c r="N37" s="605"/>
      <c r="O37" s="601" t="s">
        <v>1135</v>
      </c>
      <c r="P37" s="606"/>
      <c r="Q37" s="606"/>
      <c r="R37" s="606"/>
      <c r="S37" s="606"/>
      <c r="T37" s="606"/>
      <c r="U37" s="606"/>
      <c r="V37" s="606"/>
      <c r="W37" s="606"/>
      <c r="X37" s="606"/>
      <c r="Y37" s="580"/>
      <c r="Z37" s="1008"/>
      <c r="AA37" s="1008"/>
      <c r="AC37" s="53"/>
      <c r="AD37" s="454"/>
      <c r="AE37" s="302"/>
      <c r="AF37" s="302"/>
      <c r="AG37" s="302"/>
      <c r="AH37" s="302"/>
      <c r="AI37" s="303"/>
      <c r="AJ37" s="304"/>
      <c r="AK37" s="304"/>
      <c r="AL37" s="304"/>
      <c r="AM37" s="304"/>
      <c r="AN37" s="53"/>
    </row>
    <row r="38" spans="2:40" ht="19.5" customHeight="1">
      <c r="B38" s="489"/>
      <c r="C38" s="924" t="s">
        <v>252</v>
      </c>
      <c r="D38" s="924" t="s">
        <v>443</v>
      </c>
      <c r="E38" s="925"/>
      <c r="F38" s="925"/>
      <c r="G38" s="925"/>
      <c r="H38" s="926"/>
      <c r="I38" s="1031" t="s">
        <v>1043</v>
      </c>
      <c r="J38" s="558" t="s">
        <v>1044</v>
      </c>
      <c r="K38" s="559" t="s">
        <v>1048</v>
      </c>
      <c r="L38" s="559"/>
      <c r="M38" s="559"/>
      <c r="N38" s="560"/>
      <c r="O38" s="18" t="s">
        <v>255</v>
      </c>
      <c r="P38" s="18"/>
      <c r="Q38" s="18"/>
      <c r="R38" s="18"/>
      <c r="S38" s="18"/>
      <c r="T38" s="18"/>
      <c r="U38" s="18"/>
      <c r="V38" s="18"/>
      <c r="W38" s="18"/>
      <c r="X38" s="18"/>
      <c r="Y38" s="18"/>
      <c r="Z38" s="1008"/>
      <c r="AA38" s="1008"/>
    </row>
    <row r="39" spans="2:40" s="540" customFormat="1" ht="19.5" customHeight="1">
      <c r="B39" s="489"/>
      <c r="C39" s="927"/>
      <c r="D39" s="927"/>
      <c r="E39" s="928"/>
      <c r="F39" s="928"/>
      <c r="G39" s="928"/>
      <c r="H39" s="929"/>
      <c r="I39" s="1032"/>
      <c r="J39" s="558" t="s">
        <v>1045</v>
      </c>
      <c r="K39" s="559" t="s">
        <v>1047</v>
      </c>
      <c r="L39" s="559"/>
      <c r="M39" s="559"/>
      <c r="N39" s="560"/>
      <c r="O39" s="18" t="s">
        <v>1050</v>
      </c>
      <c r="P39" s="18"/>
      <c r="Q39" s="18"/>
      <c r="R39" s="18"/>
      <c r="S39" s="18"/>
      <c r="T39" s="18"/>
      <c r="U39" s="18"/>
      <c r="V39" s="18"/>
      <c r="W39" s="18"/>
      <c r="X39" s="18"/>
      <c r="Y39" s="18"/>
      <c r="Z39" s="1008"/>
      <c r="AA39" s="1008"/>
      <c r="AC39" s="53"/>
      <c r="AD39" s="326"/>
      <c r="AE39" s="302"/>
      <c r="AF39" s="302"/>
      <c r="AG39" s="302"/>
      <c r="AH39" s="302"/>
      <c r="AI39" s="303"/>
      <c r="AJ39" s="304"/>
      <c r="AK39" s="304"/>
      <c r="AL39" s="304"/>
      <c r="AM39" s="304"/>
      <c r="AN39" s="53"/>
    </row>
    <row r="40" spans="2:40" s="540" customFormat="1" ht="19.5" customHeight="1">
      <c r="B40" s="489"/>
      <c r="C40" s="927"/>
      <c r="D40" s="930"/>
      <c r="E40" s="931"/>
      <c r="F40" s="931"/>
      <c r="G40" s="931"/>
      <c r="H40" s="932"/>
      <c r="I40" s="1033"/>
      <c r="J40" s="557" t="s">
        <v>1046</v>
      </c>
      <c r="K40" s="555" t="s">
        <v>1049</v>
      </c>
      <c r="L40" s="555"/>
      <c r="M40" s="555"/>
      <c r="N40" s="556"/>
      <c r="O40" s="18" t="s">
        <v>1050</v>
      </c>
      <c r="P40" s="18"/>
      <c r="Q40" s="18"/>
      <c r="R40" s="18"/>
      <c r="S40" s="18"/>
      <c r="T40" s="18"/>
      <c r="U40" s="18"/>
      <c r="V40" s="18"/>
      <c r="W40" s="18"/>
      <c r="X40" s="18"/>
      <c r="Y40" s="18"/>
      <c r="Z40" s="1008"/>
      <c r="AA40" s="1008"/>
      <c r="AC40" s="53"/>
      <c r="AD40" s="326"/>
      <c r="AE40" s="302"/>
      <c r="AF40" s="302"/>
      <c r="AG40" s="302"/>
      <c r="AH40" s="302"/>
      <c r="AI40" s="303"/>
      <c r="AJ40" s="304"/>
      <c r="AK40" s="304"/>
      <c r="AL40" s="304"/>
      <c r="AM40" s="304"/>
      <c r="AN40" s="53"/>
    </row>
    <row r="41" spans="2:40" ht="19.5" customHeight="1">
      <c r="B41" s="331"/>
      <c r="C41" s="927"/>
      <c r="D41" s="154" t="s">
        <v>923</v>
      </c>
      <c r="E41" s="18"/>
      <c r="F41" s="18"/>
      <c r="G41" s="18"/>
      <c r="H41" s="18"/>
      <c r="I41" s="18"/>
      <c r="J41" s="18"/>
      <c r="K41" s="18"/>
      <c r="L41" s="18"/>
      <c r="M41" s="18"/>
      <c r="N41" s="113" t="b">
        <f>IF(OR(B38="○",B39="○",B40="○"),(COUNTIF(D42:Y42,"○")))</f>
        <v>0</v>
      </c>
      <c r="O41" s="791" t="str">
        <f>IF(AND(B38=0,B39=0,B40=0)," ",IF(AND(OR(B38="○",B39="○",B40="○"),N41=1),"(技術区分の選択 ok)","技術区分の選択不備 ①～③の中から１つ選択ください"))</f>
        <v xml:space="preserve"> </v>
      </c>
      <c r="P41" s="792"/>
      <c r="Q41" s="792"/>
      <c r="R41" s="792"/>
      <c r="S41" s="792"/>
      <c r="T41" s="792"/>
      <c r="U41" s="792"/>
      <c r="V41" s="792"/>
      <c r="W41" s="792"/>
      <c r="X41" s="792"/>
      <c r="Y41" s="793"/>
      <c r="Z41" s="1008"/>
      <c r="AA41" s="1008"/>
    </row>
    <row r="42" spans="2:40" ht="19.5" customHeight="1">
      <c r="B42" s="332"/>
      <c r="C42" s="930"/>
      <c r="D42" s="183"/>
      <c r="E42" s="16" t="s">
        <v>244</v>
      </c>
      <c r="F42" s="83" t="s">
        <v>511</v>
      </c>
      <c r="G42" s="83"/>
      <c r="H42" s="83"/>
      <c r="I42" s="83"/>
      <c r="J42" s="83"/>
      <c r="L42" s="183"/>
      <c r="M42" s="16" t="s">
        <v>245</v>
      </c>
      <c r="N42" s="182" t="s">
        <v>512</v>
      </c>
      <c r="O42" s="84"/>
      <c r="S42" s="183"/>
      <c r="T42" s="16" t="s">
        <v>246</v>
      </c>
      <c r="U42" s="182" t="s">
        <v>513</v>
      </c>
      <c r="V42" s="83"/>
      <c r="W42" s="84"/>
      <c r="X42" s="84"/>
      <c r="Y42" s="85"/>
      <c r="Z42" s="1008"/>
      <c r="AA42" s="1008"/>
    </row>
    <row r="43" spans="2:40" ht="19.5" customHeight="1">
      <c r="B43" s="561"/>
      <c r="C43" s="924" t="s">
        <v>253</v>
      </c>
      <c r="D43" s="924" t="s">
        <v>441</v>
      </c>
      <c r="E43" s="925"/>
      <c r="F43" s="925"/>
      <c r="G43" s="925"/>
      <c r="H43" s="926"/>
      <c r="I43" s="1031" t="s">
        <v>1051</v>
      </c>
      <c r="J43" s="541" t="s">
        <v>1052</v>
      </c>
      <c r="K43" s="22"/>
      <c r="L43" s="22"/>
      <c r="M43" s="22"/>
      <c r="N43" s="12"/>
      <c r="O43" s="22" t="s">
        <v>256</v>
      </c>
      <c r="P43" s="22"/>
      <c r="Q43" s="22"/>
      <c r="R43" s="22"/>
      <c r="S43" s="22"/>
      <c r="T43" s="22"/>
      <c r="U43" s="22"/>
      <c r="V43" s="22"/>
      <c r="W43" s="22"/>
      <c r="X43" s="22"/>
      <c r="Y43" s="22"/>
      <c r="Z43" s="1008"/>
      <c r="AA43" s="1008"/>
    </row>
    <row r="44" spans="2:40" s="540" customFormat="1" ht="19.5" customHeight="1">
      <c r="B44" s="561"/>
      <c r="C44" s="927"/>
      <c r="D44" s="927"/>
      <c r="E44" s="928"/>
      <c r="F44" s="928"/>
      <c r="G44" s="928"/>
      <c r="H44" s="929"/>
      <c r="I44" s="1032"/>
      <c r="J44" s="16" t="s">
        <v>1053</v>
      </c>
      <c r="K44" s="18"/>
      <c r="L44" s="18"/>
      <c r="M44" s="18"/>
      <c r="N44" s="17"/>
      <c r="O44" s="18" t="s">
        <v>1050</v>
      </c>
      <c r="P44" s="22"/>
      <c r="Q44" s="22"/>
      <c r="R44" s="22"/>
      <c r="S44" s="22"/>
      <c r="T44" s="22"/>
      <c r="U44" s="22"/>
      <c r="V44" s="22"/>
      <c r="W44" s="22"/>
      <c r="X44" s="22"/>
      <c r="Y44" s="22"/>
      <c r="Z44" s="1008"/>
      <c r="AA44" s="1008"/>
      <c r="AC44" s="53"/>
      <c r="AD44" s="326"/>
      <c r="AE44" s="302"/>
      <c r="AF44" s="302"/>
      <c r="AG44" s="302"/>
      <c r="AH44" s="302"/>
      <c r="AI44" s="303"/>
      <c r="AJ44" s="304"/>
      <c r="AK44" s="304"/>
      <c r="AL44" s="304"/>
      <c r="AM44" s="304"/>
      <c r="AN44" s="53"/>
    </row>
    <row r="45" spans="2:40" s="540" customFormat="1" ht="19.5" customHeight="1">
      <c r="B45" s="561"/>
      <c r="C45" s="930"/>
      <c r="D45" s="930"/>
      <c r="E45" s="931"/>
      <c r="F45" s="931"/>
      <c r="G45" s="931"/>
      <c r="H45" s="932"/>
      <c r="I45" s="1033"/>
      <c r="J45" s="14" t="s">
        <v>1054</v>
      </c>
      <c r="K45" s="542"/>
      <c r="L45" s="542"/>
      <c r="M45" s="542"/>
      <c r="N45" s="15"/>
      <c r="O45" s="18" t="s">
        <v>1050</v>
      </c>
      <c r="P45" s="22"/>
      <c r="Q45" s="22"/>
      <c r="R45" s="22"/>
      <c r="S45" s="22"/>
      <c r="T45" s="22"/>
      <c r="U45" s="22"/>
      <c r="V45" s="22"/>
      <c r="W45" s="22"/>
      <c r="X45" s="22"/>
      <c r="Y45" s="22"/>
      <c r="Z45" s="1008"/>
      <c r="AA45" s="1008"/>
      <c r="AC45" s="53"/>
      <c r="AD45" s="326"/>
      <c r="AE45" s="302"/>
      <c r="AF45" s="302"/>
      <c r="AG45" s="302"/>
      <c r="AH45" s="302"/>
      <c r="AI45" s="303"/>
      <c r="AJ45" s="304"/>
      <c r="AK45" s="304"/>
      <c r="AL45" s="304"/>
      <c r="AM45" s="304"/>
      <c r="AN45" s="53"/>
    </row>
    <row r="46" spans="2:40" ht="19.5" customHeight="1">
      <c r="B46" s="561"/>
      <c r="C46" s="938" t="s">
        <v>442</v>
      </c>
      <c r="D46" s="1058" t="s">
        <v>144</v>
      </c>
      <c r="E46" s="1058"/>
      <c r="F46" s="1058"/>
      <c r="G46" s="1058"/>
      <c r="H46" s="1058"/>
      <c r="I46" s="1058" t="s">
        <v>1055</v>
      </c>
      <c r="J46" s="18" t="s">
        <v>1056</v>
      </c>
      <c r="K46" s="18"/>
      <c r="L46" s="18"/>
      <c r="M46" s="18"/>
      <c r="N46" s="15"/>
      <c r="O46" s="19" t="s">
        <v>256</v>
      </c>
      <c r="P46" s="18"/>
      <c r="Q46" s="18"/>
      <c r="R46" s="18"/>
      <c r="S46" s="18"/>
      <c r="T46" s="18"/>
      <c r="U46" s="18"/>
      <c r="V46" s="18"/>
      <c r="W46" s="18"/>
      <c r="X46" s="18"/>
      <c r="Y46" s="582"/>
      <c r="Z46" s="1008"/>
      <c r="AA46" s="1008"/>
    </row>
    <row r="47" spans="2:40" s="540" customFormat="1" ht="19.5" customHeight="1">
      <c r="B47" s="561"/>
      <c r="C47" s="938"/>
      <c r="D47" s="1058"/>
      <c r="E47" s="1058"/>
      <c r="F47" s="1058"/>
      <c r="G47" s="1058"/>
      <c r="H47" s="1058"/>
      <c r="I47" s="1058"/>
      <c r="J47" s="16" t="s">
        <v>1057</v>
      </c>
      <c r="K47" s="18"/>
      <c r="L47" s="18"/>
      <c r="M47" s="18"/>
      <c r="N47" s="18"/>
      <c r="O47" s="16" t="s">
        <v>1050</v>
      </c>
      <c r="P47" s="18"/>
      <c r="Q47" s="18"/>
      <c r="R47" s="18"/>
      <c r="S47" s="18"/>
      <c r="T47" s="18"/>
      <c r="U47" s="18"/>
      <c r="V47" s="18"/>
      <c r="W47" s="18"/>
      <c r="X47" s="18"/>
      <c r="Y47" s="543"/>
      <c r="Z47" s="1008"/>
      <c r="AA47" s="1008"/>
      <c r="AC47" s="53"/>
      <c r="AD47" s="326"/>
      <c r="AE47" s="302"/>
      <c r="AF47" s="302"/>
      <c r="AG47" s="302"/>
      <c r="AH47" s="302"/>
      <c r="AI47" s="303"/>
      <c r="AJ47" s="304"/>
      <c r="AK47" s="304"/>
      <c r="AL47" s="304"/>
      <c r="AM47" s="304"/>
      <c r="AN47" s="53"/>
    </row>
    <row r="48" spans="2:40" s="540" customFormat="1" ht="19.5" customHeight="1">
      <c r="B48" s="561"/>
      <c r="C48" s="939"/>
      <c r="D48" s="1058"/>
      <c r="E48" s="1058"/>
      <c r="F48" s="1058"/>
      <c r="G48" s="1058"/>
      <c r="H48" s="1058"/>
      <c r="I48" s="1058"/>
      <c r="J48" s="16" t="s">
        <v>1058</v>
      </c>
      <c r="K48" s="18"/>
      <c r="L48" s="18"/>
      <c r="M48" s="18"/>
      <c r="N48" s="18"/>
      <c r="O48" s="88" t="s">
        <v>1050</v>
      </c>
      <c r="P48" s="18"/>
      <c r="Q48" s="18"/>
      <c r="R48" s="18"/>
      <c r="S48" s="18"/>
      <c r="T48" s="18"/>
      <c r="U48" s="18"/>
      <c r="V48" s="18"/>
      <c r="W48" s="18"/>
      <c r="X48" s="18"/>
      <c r="Y48" s="543"/>
      <c r="Z48" s="1008"/>
      <c r="AA48" s="1008"/>
      <c r="AC48" s="53"/>
      <c r="AD48" s="326"/>
      <c r="AE48" s="302"/>
      <c r="AF48" s="302"/>
      <c r="AG48" s="302"/>
      <c r="AH48" s="302"/>
      <c r="AI48" s="303"/>
      <c r="AJ48" s="304"/>
      <c r="AK48" s="304"/>
      <c r="AL48" s="304"/>
      <c r="AM48" s="304"/>
      <c r="AN48" s="53"/>
    </row>
    <row r="49" spans="2:45" s="578" customFormat="1" ht="33" customHeight="1">
      <c r="B49" s="561"/>
      <c r="C49" s="593" t="s">
        <v>1136</v>
      </c>
      <c r="D49" s="1045" t="s">
        <v>1138</v>
      </c>
      <c r="E49" s="1046"/>
      <c r="F49" s="1046"/>
      <c r="G49" s="1046"/>
      <c r="H49" s="1047"/>
      <c r="I49" s="594" t="s">
        <v>1137</v>
      </c>
      <c r="J49" s="935" t="s">
        <v>1142</v>
      </c>
      <c r="K49" s="936"/>
      <c r="L49" s="936"/>
      <c r="M49" s="936"/>
      <c r="N49" s="937"/>
      <c r="O49" s="595" t="s">
        <v>1140</v>
      </c>
      <c r="P49" s="596"/>
      <c r="Q49" s="596"/>
      <c r="R49" s="596"/>
      <c r="S49" s="596"/>
      <c r="T49" s="596"/>
      <c r="U49" s="596"/>
      <c r="V49" s="596"/>
      <c r="W49" s="596"/>
      <c r="X49" s="596"/>
      <c r="Y49" s="581"/>
      <c r="Z49" s="1008" t="s">
        <v>1139</v>
      </c>
      <c r="AA49" s="1008"/>
      <c r="AC49" s="53"/>
      <c r="AD49" s="326"/>
      <c r="AE49" s="302"/>
      <c r="AF49" s="302"/>
      <c r="AG49" s="302"/>
      <c r="AH49" s="302"/>
      <c r="AI49" s="303"/>
      <c r="AJ49" s="304"/>
      <c r="AK49" s="304"/>
      <c r="AL49" s="304"/>
      <c r="AM49" s="304"/>
      <c r="AN49" s="53"/>
    </row>
    <row r="50" spans="2:45" ht="17.5" customHeight="1">
      <c r="B50" s="788" t="str">
        <f>IF(AA50=1,"","　※事業区分／申請者区分（該当区分をⅠ～Ⅴの中から１つのみ選択して「○」印をつけてください")</f>
        <v>　※事業区分／申請者区分（該当区分をⅠ～Ⅴの中から１つのみ選択して「○」印をつけてください</v>
      </c>
      <c r="C50" s="789"/>
      <c r="D50" s="789"/>
      <c r="E50" s="789"/>
      <c r="F50" s="789"/>
      <c r="G50" s="789"/>
      <c r="H50" s="789"/>
      <c r="I50" s="789"/>
      <c r="J50" s="789"/>
      <c r="K50" s="789"/>
      <c r="L50" s="789"/>
      <c r="M50" s="789"/>
      <c r="N50" s="789"/>
      <c r="O50" s="789"/>
      <c r="P50" s="789"/>
      <c r="Q50" s="789"/>
      <c r="R50" s="789"/>
      <c r="S50" s="789"/>
      <c r="T50" s="789"/>
      <c r="U50" s="789"/>
      <c r="V50" s="789"/>
      <c r="W50" s="789"/>
      <c r="X50" s="789"/>
      <c r="Y50" s="789"/>
      <c r="Z50" s="790"/>
      <c r="AA50" s="324">
        <f>COUNTIF(B29:B49,"○")</f>
        <v>0</v>
      </c>
      <c r="AG50" s="302" t="s">
        <v>514</v>
      </c>
    </row>
    <row r="51" spans="2:45" s="4" customFormat="1" ht="15" hidden="1" customHeight="1">
      <c r="B51" s="912" t="e">
        <f>IF(B43&lt;&gt;0," ",IF(AND(B43=0,AA51&gt;=1),"　※［イノベーション］区分の支援テーマの選択不備又は新事業活動区分の選択不備",""))</f>
        <v>#REF!</v>
      </c>
      <c r="C51" s="913"/>
      <c r="D51" s="913"/>
      <c r="E51" s="913"/>
      <c r="F51" s="913"/>
      <c r="G51" s="913"/>
      <c r="H51" s="913"/>
      <c r="I51" s="913"/>
      <c r="J51" s="913"/>
      <c r="K51" s="913"/>
      <c r="L51" s="913"/>
      <c r="M51" s="913"/>
      <c r="N51" s="913"/>
      <c r="O51" s="913"/>
      <c r="P51" s="913"/>
      <c r="Q51" s="913"/>
      <c r="R51" s="913"/>
      <c r="S51" s="913"/>
      <c r="T51" s="913"/>
      <c r="U51" s="913"/>
      <c r="V51" s="913"/>
      <c r="W51" s="913"/>
      <c r="X51" s="913"/>
      <c r="Y51" s="913"/>
      <c r="Z51" s="913"/>
      <c r="AA51" s="324" t="e">
        <f>COUNTIF(#REF!,"○")</f>
        <v>#REF!</v>
      </c>
      <c r="AC51" s="111"/>
      <c r="AD51" s="111"/>
      <c r="AE51" s="344"/>
      <c r="AF51" s="344"/>
      <c r="AG51" s="344" t="s">
        <v>516</v>
      </c>
      <c r="AH51" s="344"/>
      <c r="AI51" s="345"/>
      <c r="AJ51" s="344"/>
      <c r="AK51" s="344"/>
      <c r="AL51" s="344"/>
      <c r="AM51" s="344"/>
      <c r="AN51" s="111"/>
    </row>
    <row r="52" spans="2:45" s="4" customFormat="1" ht="15" hidden="1" customHeight="1">
      <c r="B52" s="912" t="str">
        <f>IF(B38&lt;&gt;0," ",IF(AND(B38=0,AA52&gt;=1),"　※［ＤＸ推進］区分の技術分野の選択不備",""))</f>
        <v/>
      </c>
      <c r="C52" s="913"/>
      <c r="D52" s="913"/>
      <c r="E52" s="913"/>
      <c r="F52" s="913"/>
      <c r="G52" s="913"/>
      <c r="H52" s="913"/>
      <c r="I52" s="913"/>
      <c r="J52" s="913"/>
      <c r="K52" s="913"/>
      <c r="L52" s="913"/>
      <c r="M52" s="913"/>
      <c r="N52" s="913"/>
      <c r="O52" s="913"/>
      <c r="P52" s="913"/>
      <c r="Q52" s="913"/>
      <c r="R52" s="913"/>
      <c r="S52" s="913"/>
      <c r="T52" s="913"/>
      <c r="U52" s="913"/>
      <c r="V52" s="913"/>
      <c r="W52" s="913"/>
      <c r="X52" s="913"/>
      <c r="Y52" s="913"/>
      <c r="Z52" s="913"/>
      <c r="AA52" s="324">
        <f>COUNTIF(D42:O42,"○")</f>
        <v>0</v>
      </c>
      <c r="AC52" s="111"/>
      <c r="AD52" s="111"/>
      <c r="AE52" s="344"/>
      <c r="AF52" s="344"/>
      <c r="AG52" s="344" t="s">
        <v>515</v>
      </c>
      <c r="AH52" s="344"/>
      <c r="AI52" s="345"/>
      <c r="AJ52" s="344"/>
      <c r="AK52" s="344"/>
      <c r="AL52" s="344"/>
      <c r="AM52" s="344"/>
      <c r="AN52" s="111"/>
    </row>
    <row r="53" spans="2:45" ht="15" hidden="1" customHeight="1">
      <c r="AO53" s="53"/>
      <c r="AP53" s="53"/>
      <c r="AQ53" s="53"/>
      <c r="AR53" s="53"/>
      <c r="AS53" s="53"/>
    </row>
    <row r="54" spans="2:45" ht="25.5" customHeight="1">
      <c r="AO54" s="53"/>
      <c r="AP54" s="53"/>
      <c r="AQ54" s="53"/>
      <c r="AR54" s="53"/>
      <c r="AS54" s="53"/>
    </row>
    <row r="55" spans="2:45" ht="18.75" customHeight="1">
      <c r="B55" s="911" t="s">
        <v>924</v>
      </c>
      <c r="C55" s="671"/>
      <c r="D55" s="923" t="s">
        <v>1062</v>
      </c>
      <c r="E55" s="923"/>
      <c r="F55" s="923"/>
      <c r="G55" s="923"/>
      <c r="H55" s="923"/>
      <c r="I55" s="923"/>
      <c r="J55" s="923"/>
      <c r="K55" s="923"/>
      <c r="L55" s="923"/>
      <c r="M55" s="923"/>
      <c r="N55" s="923"/>
      <c r="O55" s="923"/>
      <c r="P55" s="923"/>
      <c r="Q55" s="923"/>
      <c r="R55" s="923"/>
      <c r="S55" s="923"/>
      <c r="T55" s="923"/>
      <c r="U55" s="923"/>
      <c r="V55" s="923"/>
      <c r="W55" s="923"/>
      <c r="X55" s="923"/>
      <c r="Y55" s="923"/>
      <c r="Z55" s="923"/>
    </row>
    <row r="56" spans="2:45" ht="18" customHeight="1">
      <c r="B56" s="478"/>
      <c r="C56" s="457" t="s">
        <v>996</v>
      </c>
      <c r="D56" s="914" t="s">
        <v>1063</v>
      </c>
      <c r="E56" s="914"/>
      <c r="F56" s="914"/>
      <c r="G56" s="914"/>
      <c r="H56" s="914"/>
      <c r="I56" s="914"/>
      <c r="J56" s="914"/>
      <c r="K56" s="914"/>
      <c r="L56" s="914"/>
      <c r="M56" s="914"/>
      <c r="N56" s="914"/>
      <c r="O56" s="914"/>
      <c r="P56" s="914"/>
      <c r="Q56" s="914"/>
      <c r="R56" s="914"/>
      <c r="S56" s="914"/>
      <c r="T56" s="914"/>
      <c r="U56" s="914"/>
      <c r="V56" s="914"/>
      <c r="W56" s="914"/>
      <c r="X56" s="914"/>
      <c r="Y56" s="914"/>
      <c r="Z56" s="914"/>
      <c r="AA56" s="914"/>
      <c r="AD56" s="326" t="s">
        <v>955</v>
      </c>
    </row>
    <row r="57" spans="2:45" ht="12.4" customHeight="1">
      <c r="B57" s="909" t="str">
        <f>IF(OR(B30="○",B31="○",B32="○",B34="○",B35="○",B36="○",B39="○",B40="○",B44="○",B45="○",B47="○",B48="○"),"↑選択必須","")</f>
        <v/>
      </c>
      <c r="C57" s="910"/>
      <c r="D57" s="914"/>
      <c r="E57" s="914"/>
      <c r="F57" s="914"/>
      <c r="G57" s="914"/>
      <c r="H57" s="914"/>
      <c r="I57" s="914"/>
      <c r="J57" s="914"/>
      <c r="K57" s="914"/>
      <c r="L57" s="914"/>
      <c r="M57" s="914"/>
      <c r="N57" s="914"/>
      <c r="O57" s="914"/>
      <c r="P57" s="914"/>
      <c r="Q57" s="914"/>
      <c r="R57" s="914"/>
      <c r="S57" s="914"/>
      <c r="T57" s="914"/>
      <c r="U57" s="914"/>
      <c r="V57" s="914"/>
      <c r="W57" s="914"/>
      <c r="X57" s="914"/>
      <c r="Y57" s="914"/>
      <c r="Z57" s="914"/>
      <c r="AA57" s="914"/>
      <c r="AD57" s="326" t="s">
        <v>956</v>
      </c>
    </row>
    <row r="58" spans="2:45" ht="21.65" customHeight="1">
      <c r="B58" s="909" t="str">
        <f>IF(AND(OR(B29="○",B33="○",B37="○",B38="○",B43="○",B46="○",B49="○"),OR(B56="α",B56="β")),"↑選択不可","")</f>
        <v/>
      </c>
      <c r="C58" s="910"/>
      <c r="D58" s="914"/>
      <c r="E58" s="914"/>
      <c r="F58" s="914"/>
      <c r="G58" s="914"/>
      <c r="H58" s="914"/>
      <c r="I58" s="914"/>
      <c r="J58" s="914"/>
      <c r="K58" s="914"/>
      <c r="L58" s="914"/>
      <c r="M58" s="914"/>
      <c r="N58" s="914"/>
      <c r="O58" s="914"/>
      <c r="P58" s="914"/>
      <c r="Q58" s="914"/>
      <c r="R58" s="914"/>
      <c r="S58" s="914"/>
      <c r="T58" s="914"/>
      <c r="U58" s="914"/>
      <c r="V58" s="914"/>
      <c r="W58" s="914"/>
      <c r="X58" s="914"/>
      <c r="Y58" s="914"/>
      <c r="Z58" s="914"/>
      <c r="AA58" s="914"/>
    </row>
    <row r="59" spans="2:45" ht="30" customHeight="1">
      <c r="B59" s="6"/>
      <c r="C59" s="7"/>
      <c r="D59" s="914"/>
      <c r="E59" s="914"/>
      <c r="F59" s="914"/>
      <c r="G59" s="914"/>
      <c r="H59" s="914"/>
      <c r="I59" s="914"/>
      <c r="J59" s="914"/>
      <c r="K59" s="914"/>
      <c r="L59" s="914"/>
      <c r="M59" s="914"/>
      <c r="N59" s="914"/>
      <c r="O59" s="914"/>
      <c r="P59" s="914"/>
      <c r="Q59" s="914"/>
      <c r="R59" s="914"/>
      <c r="S59" s="914"/>
      <c r="T59" s="914"/>
      <c r="U59" s="914"/>
      <c r="V59" s="914"/>
      <c r="W59" s="914"/>
      <c r="X59" s="914"/>
      <c r="Y59" s="914"/>
      <c r="Z59" s="914"/>
      <c r="AA59" s="914"/>
    </row>
    <row r="60" spans="2:45" ht="18.75" customHeight="1">
      <c r="B60" s="6" t="s">
        <v>18</v>
      </c>
      <c r="C60" s="7" t="s">
        <v>20</v>
      </c>
      <c r="D60" s="7"/>
      <c r="E60" s="7"/>
      <c r="F60" s="7"/>
      <c r="G60" s="7"/>
      <c r="H60" s="7"/>
      <c r="I60" s="138"/>
      <c r="J60" s="138"/>
      <c r="V60" s="45"/>
    </row>
    <row r="61" spans="2:45" ht="19.5" customHeight="1">
      <c r="C61" s="1" t="s">
        <v>268</v>
      </c>
      <c r="H61" s="1048"/>
      <c r="I61" s="1048"/>
      <c r="J61" s="1048"/>
      <c r="K61" s="1048"/>
      <c r="L61" s="1048"/>
      <c r="M61" s="1048"/>
      <c r="N61" s="1049"/>
      <c r="P61" s="1" t="s">
        <v>21</v>
      </c>
      <c r="X61" s="782" t="str">
        <f>Y95</f>
        <v>未入力</v>
      </c>
      <c r="Y61" s="783"/>
      <c r="Z61" s="783"/>
      <c r="AA61" s="1" t="s">
        <v>22</v>
      </c>
    </row>
    <row r="62" spans="2:45" ht="20.25" customHeight="1">
      <c r="C62" s="1" t="s">
        <v>269</v>
      </c>
      <c r="H62" s="55"/>
      <c r="I62" s="170"/>
      <c r="K62" s="1" t="s">
        <v>35</v>
      </c>
      <c r="O62" s="1050" t="str">
        <f>IFERROR(VLOOKUP(I62,K196:L306,2,FALSE),"")</f>
        <v/>
      </c>
      <c r="P62" s="1051"/>
      <c r="Q62" s="1051"/>
      <c r="R62" s="1051"/>
      <c r="S62" s="1051"/>
      <c r="T62" s="1051"/>
      <c r="U62" s="1051"/>
      <c r="V62" s="1051"/>
      <c r="W62" s="1051"/>
      <c r="X62" s="1051"/>
      <c r="Y62" s="1051"/>
      <c r="Z62" s="1051"/>
      <c r="AA62" s="1051"/>
      <c r="AD62" s="450" t="s">
        <v>409</v>
      </c>
    </row>
    <row r="63" spans="2:45" ht="4.5" customHeight="1"/>
    <row r="64" spans="2:45" ht="13.5" customHeight="1">
      <c r="C64" s="298" t="s">
        <v>59</v>
      </c>
      <c r="D64" s="260" t="s">
        <v>60</v>
      </c>
      <c r="E64" s="260"/>
      <c r="F64" s="260"/>
      <c r="G64" s="260"/>
      <c r="H64" s="260"/>
      <c r="I64" s="260" t="s">
        <v>61</v>
      </c>
      <c r="J64" s="299" t="str">
        <f>IFERROR(IF(OR(D194="小規模企業者",E194="小規模企業者"),"○",""),"")</f>
        <v/>
      </c>
      <c r="K64" s="260"/>
      <c r="L64" s="260" t="s">
        <v>62</v>
      </c>
      <c r="M64" s="260"/>
      <c r="N64" s="299" t="str">
        <f>IFERROR(IF(AND(D194="×",E194="×"),"○",""),"")</f>
        <v/>
      </c>
      <c r="O64" s="260"/>
      <c r="P64" s="1056" t="str">
        <f>IFERROR(IF(H61=AC194,"大分類と中分類のｶﾃｺﾞﾘｰ一致 ok","大分類と中分類のｶﾃｺﾞﾘｰ不一致：分類を見直して修正ください"),"")</f>
        <v/>
      </c>
      <c r="Q64" s="1057"/>
      <c r="R64" s="1057"/>
      <c r="S64" s="1057"/>
      <c r="T64" s="1057"/>
      <c r="U64" s="1057"/>
      <c r="V64" s="1057"/>
      <c r="W64" s="1057"/>
      <c r="X64" s="1057"/>
      <c r="Y64" s="1057"/>
      <c r="Z64" s="1057"/>
      <c r="AA64" s="1057"/>
    </row>
    <row r="65" spans="2:40" ht="13.9" customHeight="1">
      <c r="D65" s="1012" t="str">
        <f>IF(AND(B36="○",N64="○"),"申請者区分の「小規模企業者」の条件を満たしません；申請者区分の見直しをお願いします。","")</f>
        <v/>
      </c>
      <c r="E65" s="1013"/>
      <c r="F65" s="1013"/>
      <c r="G65" s="1013"/>
      <c r="H65" s="1013"/>
      <c r="I65" s="1013"/>
      <c r="J65" s="1013"/>
      <c r="K65" s="1013"/>
      <c r="L65" s="1013"/>
      <c r="M65" s="1013"/>
      <c r="N65" s="1013"/>
      <c r="O65" s="1013"/>
      <c r="P65" s="1013"/>
      <c r="Q65" s="1013"/>
      <c r="R65" s="1013"/>
      <c r="S65" s="1013"/>
      <c r="T65" s="1013"/>
      <c r="U65" s="1013"/>
      <c r="V65" s="1013"/>
      <c r="W65" s="1013"/>
      <c r="X65" s="1013"/>
      <c r="Y65" s="1013"/>
      <c r="Z65" s="1013"/>
      <c r="AA65" s="1013"/>
    </row>
    <row r="66" spans="2:40" ht="17.25" customHeight="1">
      <c r="B66" s="6" t="s">
        <v>23</v>
      </c>
      <c r="C66" s="7" t="s">
        <v>24</v>
      </c>
      <c r="D66" s="138"/>
      <c r="E66" s="138"/>
      <c r="F66" s="138"/>
      <c r="G66" s="138"/>
      <c r="AI66" s="305"/>
      <c r="AJ66" s="306"/>
      <c r="AK66" s="306"/>
    </row>
    <row r="67" spans="2:40" ht="16.899999999999999" customHeight="1">
      <c r="B67" s="8"/>
      <c r="C67" s="9"/>
      <c r="R67" s="1055" t="str">
        <f>資金計画!O14</f>
        <v/>
      </c>
      <c r="S67" s="934"/>
      <c r="T67" s="934"/>
      <c r="U67" s="934"/>
      <c r="V67" s="934"/>
      <c r="W67" s="934"/>
      <c r="X67" s="934"/>
      <c r="Y67" s="934"/>
      <c r="Z67" s="934"/>
      <c r="AA67" s="934"/>
      <c r="AK67" s="306"/>
    </row>
    <row r="68" spans="2:40" s="122" customFormat="1" ht="16.899999999999999" customHeight="1">
      <c r="B68" s="121"/>
      <c r="C68" s="141" t="s">
        <v>240</v>
      </c>
      <c r="D68" s="141"/>
      <c r="E68" s="141"/>
      <c r="F68" s="141"/>
      <c r="I68" s="122" t="s">
        <v>205</v>
      </c>
      <c r="Q68" s="122" t="s">
        <v>206</v>
      </c>
      <c r="U68" s="1" t="s">
        <v>947</v>
      </c>
      <c r="V68" s="786" t="str">
        <f>資金計画!Q24</f>
        <v>下限額未満</v>
      </c>
      <c r="W68" s="787"/>
      <c r="X68" s="787"/>
      <c r="Y68" s="787"/>
      <c r="Z68" s="787"/>
      <c r="AA68" t="s">
        <v>950</v>
      </c>
      <c r="AC68" s="48"/>
      <c r="AD68" s="451"/>
      <c r="AE68" s="307"/>
      <c r="AF68" s="307"/>
      <c r="AG68" s="307"/>
      <c r="AH68" s="307"/>
      <c r="AI68" s="308"/>
      <c r="AJ68" s="309"/>
      <c r="AK68" s="310"/>
      <c r="AL68" s="309"/>
      <c r="AM68" s="309"/>
      <c r="AN68" s="48"/>
    </row>
    <row r="69" spans="2:40" ht="17.25" customHeight="1">
      <c r="C69" s="7"/>
      <c r="D69" s="7" t="s">
        <v>241</v>
      </c>
      <c r="E69" s="7"/>
      <c r="F69" s="7"/>
      <c r="I69" s="1" t="s">
        <v>25</v>
      </c>
      <c r="K69" s="784" t="str">
        <f>資金計画!M24</f>
        <v/>
      </c>
      <c r="L69" s="785"/>
      <c r="M69" s="785"/>
      <c r="N69" s="785"/>
      <c r="O69" s="785"/>
      <c r="P69" s="1" t="s">
        <v>26</v>
      </c>
      <c r="Q69" s="1" t="s">
        <v>1141</v>
      </c>
      <c r="U69" s="1" t="s">
        <v>948</v>
      </c>
      <c r="V69" s="786" t="str">
        <f>IF(資金計画!AA24="-","該当なし", 資金計画!AA24)</f>
        <v>該当なし</v>
      </c>
      <c r="W69" s="787"/>
      <c r="X69" s="787"/>
      <c r="Y69" s="787"/>
      <c r="Z69" s="787"/>
      <c r="AA69" s="1" t="s">
        <v>26</v>
      </c>
      <c r="AB69" s="53"/>
      <c r="AK69" s="306"/>
      <c r="AN69" s="1"/>
    </row>
    <row r="70" spans="2:40" ht="27" customHeight="1">
      <c r="B70" s="1059" t="s">
        <v>1177</v>
      </c>
      <c r="C70" s="1060"/>
      <c r="D70" s="1060"/>
      <c r="E70" s="1060"/>
      <c r="F70" s="1060"/>
      <c r="G70" s="1060"/>
      <c r="H70" s="1060"/>
      <c r="I70" s="1060"/>
      <c r="J70" s="1060"/>
      <c r="K70" s="1060"/>
      <c r="L70" s="1060"/>
      <c r="M70" s="1060"/>
      <c r="N70" s="1060"/>
      <c r="O70" s="1060"/>
      <c r="P70" s="1060"/>
      <c r="Q70" s="1060"/>
      <c r="R70" s="1060"/>
      <c r="S70" s="1060"/>
      <c r="U70" s="1" t="s">
        <v>949</v>
      </c>
      <c r="V70" s="786" t="str">
        <f>IF(資金計画!AB24="-","該当なし", 資金計画!AB24)</f>
        <v>該当なし</v>
      </c>
      <c r="W70" s="787"/>
      <c r="X70" s="787"/>
      <c r="Y70" s="787"/>
      <c r="Z70" s="787"/>
      <c r="AA70" s="1" t="s">
        <v>950</v>
      </c>
      <c r="AB70" s="53"/>
      <c r="AK70" s="306"/>
      <c r="AN70" s="1"/>
    </row>
    <row r="71" spans="2:40" ht="26" customHeight="1">
      <c r="B71" s="1061" t="s">
        <v>1178</v>
      </c>
      <c r="C71" s="1061"/>
      <c r="D71" s="1061"/>
      <c r="E71" s="1061"/>
      <c r="F71" s="1061"/>
      <c r="G71" s="1061"/>
      <c r="H71" s="1061"/>
      <c r="I71" s="1061"/>
      <c r="J71" s="1061"/>
      <c r="K71" s="1061"/>
      <c r="L71" s="1061"/>
      <c r="M71" s="1061"/>
      <c r="N71" s="1061"/>
      <c r="O71" s="1061"/>
      <c r="P71" s="1061"/>
      <c r="Q71" s="1061"/>
      <c r="R71" s="1061"/>
      <c r="S71" s="1061"/>
      <c r="T71" s="1061"/>
      <c r="V71" s="459"/>
      <c r="W71" s="458"/>
      <c r="X71" s="458"/>
      <c r="Y71" s="458"/>
      <c r="Z71" s="458"/>
      <c r="AB71" s="53"/>
      <c r="AK71" s="306"/>
      <c r="AN71" s="1"/>
    </row>
    <row r="72" spans="2:40" ht="20.25" hidden="1" customHeight="1">
      <c r="B72" s="1030"/>
      <c r="C72" s="1030"/>
      <c r="D72" s="1030"/>
      <c r="E72" s="1030"/>
      <c r="F72" s="1030"/>
      <c r="G72" s="1030"/>
      <c r="H72" s="1030"/>
      <c r="I72" s="1030"/>
      <c r="J72" s="1030"/>
      <c r="K72" s="1030"/>
      <c r="L72" s="1030"/>
      <c r="M72" s="1030"/>
      <c r="N72" s="1030"/>
      <c r="O72" s="1030"/>
      <c r="P72" s="1030"/>
      <c r="Q72" s="1030"/>
      <c r="R72" s="1030"/>
      <c r="S72" s="1030"/>
      <c r="T72" s="1030"/>
      <c r="U72" s="1030"/>
      <c r="V72" s="1030"/>
      <c r="W72" s="1030"/>
      <c r="X72" s="1030"/>
      <c r="Y72" s="1030"/>
      <c r="Z72" s="1030"/>
      <c r="AA72" s="1030"/>
      <c r="AK72" s="306"/>
    </row>
    <row r="73" spans="2:40" ht="17.25" customHeight="1">
      <c r="B73" s="6" t="s">
        <v>27</v>
      </c>
      <c r="C73" s="7" t="s">
        <v>28</v>
      </c>
      <c r="D73" s="138"/>
      <c r="E73" s="138"/>
      <c r="F73" s="138"/>
      <c r="AK73" s="306"/>
    </row>
    <row r="74" spans="2:40" ht="2.25" customHeight="1">
      <c r="B74" s="8"/>
      <c r="C74" s="9"/>
      <c r="AK74" s="306"/>
    </row>
    <row r="75" spans="2:40" ht="15.75" customHeight="1">
      <c r="C75" s="1" t="s">
        <v>29</v>
      </c>
      <c r="F75" s="1052">
        <f>機械設備計画!P14</f>
        <v>0</v>
      </c>
      <c r="G75" s="1053"/>
      <c r="H75" s="1" t="s">
        <v>31</v>
      </c>
      <c r="L75" s="1" t="s">
        <v>32</v>
      </c>
      <c r="O75" s="1052">
        <f>機械設備計画!P15</f>
        <v>0</v>
      </c>
      <c r="P75" s="1053"/>
      <c r="Q75" s="1" t="s">
        <v>30</v>
      </c>
      <c r="T75" s="339" t="s">
        <v>576</v>
      </c>
      <c r="X75" s="1052">
        <f>機械設備計画!P16</f>
        <v>0</v>
      </c>
      <c r="Y75" s="1053"/>
      <c r="Z75" s="1" t="s">
        <v>204</v>
      </c>
      <c r="AK75" s="306"/>
    </row>
    <row r="76" spans="2:40" ht="15" customHeight="1">
      <c r="D76" s="44"/>
      <c r="T76" s="339" t="s">
        <v>577</v>
      </c>
      <c r="X76" s="1052">
        <f>機械設備計画!P17</f>
        <v>0</v>
      </c>
      <c r="Y76" s="1053"/>
      <c r="Z76" s="1" t="s">
        <v>204</v>
      </c>
      <c r="AK76" s="306"/>
    </row>
    <row r="77" spans="2:40" ht="13.5" customHeight="1">
      <c r="B77" s="6" t="s">
        <v>33</v>
      </c>
      <c r="C77" s="7" t="s">
        <v>34</v>
      </c>
      <c r="D77" s="138"/>
      <c r="E77" s="138"/>
      <c r="F77" s="138"/>
      <c r="H77" s="343"/>
      <c r="I77" s="343"/>
      <c r="J77" s="343"/>
      <c r="K77" s="343"/>
      <c r="L77" s="343"/>
      <c r="M77" s="343"/>
      <c r="N77" s="343"/>
      <c r="O77" s="1054" t="str">
        <f>IF(X76=0," ",IF(AND(OR(B38="○",B39="○",B40="○"),X76&gt;=1),"※ [ＤＸ推進] 区分が選択されているため「ソフトウエアＢ」購入ok","※ ソフトウエアＢは [ＤＸ推進] 区分のみ購入可能です／修正ください！"))</f>
        <v xml:space="preserve"> </v>
      </c>
      <c r="P77" s="1054"/>
      <c r="Q77" s="1054"/>
      <c r="R77" s="1054"/>
      <c r="S77" s="1054"/>
      <c r="T77" s="1054"/>
      <c r="U77" s="1054"/>
      <c r="V77" s="1054"/>
      <c r="W77" s="1054"/>
      <c r="X77" s="1054"/>
      <c r="Y77" s="1054"/>
      <c r="Z77" s="1054"/>
      <c r="AA77" s="1054"/>
      <c r="AK77" s="306"/>
    </row>
    <row r="78" spans="2:40" ht="20.65" customHeight="1">
      <c r="B78" s="686" t="s">
        <v>44</v>
      </c>
      <c r="C78" s="715"/>
      <c r="D78" s="716"/>
      <c r="E78" s="1019"/>
      <c r="F78" s="1020"/>
      <c r="G78" s="1020"/>
      <c r="H78" s="1020"/>
      <c r="I78" s="1020"/>
      <c r="J78" s="1020"/>
      <c r="K78" s="1020"/>
      <c r="L78" s="1020"/>
      <c r="M78" s="1020"/>
      <c r="N78" s="1020"/>
      <c r="O78" s="1020"/>
      <c r="P78" s="1020"/>
      <c r="Q78" s="1020"/>
      <c r="R78" s="1007"/>
      <c r="S78" s="21" t="s">
        <v>36</v>
      </c>
      <c r="T78" s="20"/>
      <c r="U78" s="1014"/>
      <c r="V78" s="1015"/>
      <c r="W78" s="1015"/>
      <c r="X78" s="1015"/>
      <c r="Y78" s="1015"/>
      <c r="Z78" s="1015"/>
      <c r="AA78" s="1016"/>
      <c r="AK78" s="306"/>
    </row>
    <row r="79" spans="2:40" ht="22.9" customHeight="1">
      <c r="B79" s="686" t="s">
        <v>37</v>
      </c>
      <c r="C79" s="715"/>
      <c r="D79" s="716"/>
      <c r="E79" s="1005"/>
      <c r="F79" s="1006"/>
      <c r="G79" s="1006"/>
      <c r="H79" s="1006"/>
      <c r="I79" s="1006"/>
      <c r="J79" s="1006"/>
      <c r="K79" s="1006"/>
      <c r="L79" s="1006"/>
      <c r="M79" s="1007"/>
      <c r="N79" s="21" t="s">
        <v>36</v>
      </c>
      <c r="O79" s="20"/>
      <c r="P79" s="1034"/>
      <c r="Q79" s="767"/>
      <c r="R79" s="767"/>
      <c r="S79" s="767"/>
      <c r="T79" s="767"/>
      <c r="U79" s="767"/>
      <c r="V79" s="1035"/>
      <c r="W79" s="1021" t="s">
        <v>38</v>
      </c>
      <c r="X79" s="1022"/>
      <c r="Y79" s="1029"/>
      <c r="Z79" s="768"/>
      <c r="AA79" s="17" t="s">
        <v>39</v>
      </c>
      <c r="AK79" s="306"/>
    </row>
    <row r="80" spans="2:40" ht="12" customHeight="1">
      <c r="B80" s="689" t="s">
        <v>40</v>
      </c>
      <c r="C80" s="717"/>
      <c r="D80" s="690"/>
      <c r="E80" s="123" t="s">
        <v>41</v>
      </c>
      <c r="F80" s="1017"/>
      <c r="G80" s="1018"/>
      <c r="H80" s="1018"/>
      <c r="I80" s="1018"/>
      <c r="J80" s="1018"/>
      <c r="K80" s="1018"/>
      <c r="L80" s="1018"/>
      <c r="M80" s="124"/>
      <c r="N80" s="124"/>
      <c r="O80" s="124"/>
      <c r="P80" s="124"/>
      <c r="Q80" s="124"/>
      <c r="R80" s="124"/>
      <c r="S80" s="124"/>
      <c r="T80" s="125"/>
      <c r="U80" s="689" t="s">
        <v>42</v>
      </c>
      <c r="V80" s="690"/>
      <c r="W80" s="678"/>
      <c r="X80" s="679"/>
      <c r="Y80" s="679"/>
      <c r="Z80" s="679"/>
      <c r="AA80" s="680"/>
      <c r="AK80" s="306"/>
    </row>
    <row r="81" spans="2:37" ht="21" customHeight="1">
      <c r="B81" s="693"/>
      <c r="C81" s="718"/>
      <c r="D81" s="692"/>
      <c r="E81" s="694"/>
      <c r="F81" s="682"/>
      <c r="G81" s="682"/>
      <c r="H81" s="682"/>
      <c r="I81" s="682"/>
      <c r="J81" s="682"/>
      <c r="K81" s="682"/>
      <c r="L81" s="682"/>
      <c r="M81" s="682"/>
      <c r="N81" s="682"/>
      <c r="O81" s="682"/>
      <c r="P81" s="682"/>
      <c r="Q81" s="682"/>
      <c r="R81" s="682"/>
      <c r="S81" s="682"/>
      <c r="T81" s="683"/>
      <c r="U81" s="693"/>
      <c r="V81" s="692"/>
      <c r="W81" s="681"/>
      <c r="X81" s="682"/>
      <c r="Y81" s="682"/>
      <c r="Z81" s="682"/>
      <c r="AA81" s="683"/>
      <c r="AK81" s="306"/>
    </row>
    <row r="82" spans="2:37" ht="17.25" customHeight="1">
      <c r="B82" s="689" t="s">
        <v>43</v>
      </c>
      <c r="C82" s="717"/>
      <c r="D82" s="690"/>
      <c r="E82" s="201" t="s">
        <v>138</v>
      </c>
      <c r="F82" s="22"/>
      <c r="G82" s="22"/>
      <c r="H82" s="22"/>
      <c r="I82" s="197"/>
      <c r="J82" s="202" t="s">
        <v>63</v>
      </c>
      <c r="K82" s="22"/>
      <c r="L82" s="22"/>
      <c r="M82" s="22"/>
      <c r="N82" s="22"/>
      <c r="O82" s="22"/>
      <c r="P82" s="22"/>
      <c r="Q82" s="22"/>
      <c r="R82" s="22"/>
      <c r="S82" s="22"/>
      <c r="T82" s="12"/>
      <c r="U82" s="689" t="s">
        <v>42</v>
      </c>
      <c r="V82" s="690"/>
      <c r="W82" s="204" t="s">
        <v>138</v>
      </c>
      <c r="X82" s="22"/>
      <c r="Y82" s="22"/>
      <c r="Z82" s="22"/>
      <c r="AA82" s="198"/>
      <c r="AK82" s="306"/>
    </row>
    <row r="83" spans="2:37" ht="13.15" customHeight="1">
      <c r="B83" s="691"/>
      <c r="C83" s="718"/>
      <c r="D83" s="692"/>
      <c r="E83" s="203" t="s">
        <v>41</v>
      </c>
      <c r="F83" s="940"/>
      <c r="G83" s="941"/>
      <c r="H83" s="941"/>
      <c r="I83" s="941"/>
      <c r="J83" s="941"/>
      <c r="K83" s="941"/>
      <c r="L83" s="941"/>
      <c r="M83" s="34"/>
      <c r="N83" s="34"/>
      <c r="O83" s="34"/>
      <c r="P83" s="34"/>
      <c r="Q83" s="34"/>
      <c r="R83" s="34"/>
      <c r="S83" s="34"/>
      <c r="U83" s="691"/>
      <c r="V83" s="692"/>
      <c r="X83" s="205"/>
      <c r="Y83" s="205"/>
      <c r="Z83" s="205"/>
      <c r="AA83" s="206"/>
      <c r="AE83" s="302" t="s">
        <v>509</v>
      </c>
      <c r="AK83" s="306"/>
    </row>
    <row r="84" spans="2:37" ht="22.9" customHeight="1">
      <c r="B84" s="693"/>
      <c r="C84" s="718"/>
      <c r="D84" s="692"/>
      <c r="E84" s="694"/>
      <c r="F84" s="682"/>
      <c r="G84" s="682"/>
      <c r="H84" s="682"/>
      <c r="I84" s="682"/>
      <c r="J84" s="682"/>
      <c r="K84" s="682"/>
      <c r="L84" s="682"/>
      <c r="M84" s="682"/>
      <c r="N84" s="682"/>
      <c r="O84" s="682"/>
      <c r="P84" s="682"/>
      <c r="Q84" s="682"/>
      <c r="R84" s="682"/>
      <c r="S84" s="682"/>
      <c r="T84" s="683"/>
      <c r="U84" s="693"/>
      <c r="V84" s="692"/>
      <c r="W84" s="1009"/>
      <c r="X84" s="1010"/>
      <c r="Y84" s="1010"/>
      <c r="Z84" s="1010"/>
      <c r="AA84" s="1011"/>
      <c r="AK84" s="306"/>
    </row>
    <row r="85" spans="2:37" ht="13.9" customHeight="1">
      <c r="B85" s="689" t="s">
        <v>48</v>
      </c>
      <c r="C85" s="717"/>
      <c r="D85" s="690"/>
      <c r="E85" s="285" t="s">
        <v>45</v>
      </c>
      <c r="F85" s="286"/>
      <c r="G85" s="287"/>
      <c r="H85" s="959"/>
      <c r="I85" s="960"/>
      <c r="J85" s="960"/>
      <c r="K85" s="960"/>
      <c r="L85" s="960"/>
      <c r="M85" s="960"/>
      <c r="N85" s="960"/>
      <c r="O85" s="960"/>
      <c r="P85" s="960"/>
      <c r="Q85" s="960"/>
      <c r="R85" s="960"/>
      <c r="S85" s="960"/>
      <c r="T85" s="961"/>
      <c r="U85" s="287" t="s">
        <v>47</v>
      </c>
      <c r="V85" s="287"/>
      <c r="W85" s="706"/>
      <c r="X85" s="707"/>
      <c r="Y85" s="707"/>
      <c r="Z85" s="707"/>
      <c r="AA85" s="708"/>
      <c r="AK85" s="306"/>
    </row>
    <row r="86" spans="2:37" ht="17.649999999999999" customHeight="1">
      <c r="B86" s="756"/>
      <c r="C86" s="757"/>
      <c r="D86" s="758"/>
      <c r="E86" s="288" t="s">
        <v>49</v>
      </c>
      <c r="F86" s="289"/>
      <c r="G86" s="290"/>
      <c r="H86" s="962"/>
      <c r="I86" s="963"/>
      <c r="J86" s="963"/>
      <c r="K86" s="963"/>
      <c r="L86" s="963"/>
      <c r="M86" s="963"/>
      <c r="N86" s="963"/>
      <c r="O86" s="963"/>
      <c r="P86" s="963"/>
      <c r="Q86" s="963"/>
      <c r="R86" s="963"/>
      <c r="S86" s="963"/>
      <c r="T86" s="964"/>
      <c r="U86" s="290" t="s">
        <v>46</v>
      </c>
      <c r="V86" s="290"/>
      <c r="W86" s="703"/>
      <c r="X86" s="704"/>
      <c r="Y86" s="704"/>
      <c r="Z86" s="704"/>
      <c r="AA86" s="705"/>
      <c r="AK86" s="306"/>
    </row>
    <row r="87" spans="2:37" ht="18">
      <c r="B87" s="689" t="s">
        <v>50</v>
      </c>
      <c r="C87" s="717"/>
      <c r="D87" s="690"/>
      <c r="E87" s="953"/>
      <c r="F87" s="954"/>
      <c r="G87" s="954"/>
      <c r="H87" s="954"/>
      <c r="I87" s="954"/>
      <c r="J87" s="954"/>
      <c r="K87" s="22" t="s">
        <v>53</v>
      </c>
      <c r="L87" s="12"/>
      <c r="M87" s="686" t="s">
        <v>51</v>
      </c>
      <c r="N87" s="715"/>
      <c r="O87" s="716"/>
      <c r="P87" s="698"/>
      <c r="Q87" s="699"/>
      <c r="R87" s="699"/>
      <c r="S87" s="699"/>
      <c r="T87" s="699"/>
      <c r="U87" s="50" t="s">
        <v>4</v>
      </c>
      <c r="V87" s="700"/>
      <c r="W87" s="699"/>
      <c r="X87" s="50" t="s">
        <v>54</v>
      </c>
      <c r="Y87" s="50"/>
      <c r="Z87" s="50"/>
      <c r="AA87" s="126"/>
      <c r="AK87" s="306"/>
    </row>
    <row r="88" spans="2:37" ht="18" customHeight="1">
      <c r="B88" s="756"/>
      <c r="C88" s="757"/>
      <c r="D88" s="758"/>
      <c r="E88" s="955" t="s">
        <v>408</v>
      </c>
      <c r="F88" s="850"/>
      <c r="G88" s="850"/>
      <c r="H88" s="850"/>
      <c r="I88" s="850"/>
      <c r="J88" s="951"/>
      <c r="K88" s="952"/>
      <c r="L88" s="23" t="s">
        <v>53</v>
      </c>
      <c r="M88" s="686" t="s">
        <v>52</v>
      </c>
      <c r="N88" s="715"/>
      <c r="O88" s="716"/>
      <c r="P88" s="24" t="s">
        <v>553</v>
      </c>
      <c r="Q88" s="25"/>
      <c r="R88" s="25"/>
      <c r="S88" s="25"/>
      <c r="T88" s="802"/>
      <c r="U88" s="803"/>
      <c r="V88" s="803"/>
      <c r="W88" s="25" t="s">
        <v>4</v>
      </c>
      <c r="X88" s="329"/>
      <c r="Y88" s="25" t="s">
        <v>55</v>
      </c>
      <c r="Z88" s="329"/>
      <c r="AA88" s="26" t="s">
        <v>5</v>
      </c>
      <c r="AK88" s="306"/>
    </row>
    <row r="89" spans="2:37" ht="16.5">
      <c r="B89" s="689" t="s">
        <v>64</v>
      </c>
      <c r="C89" s="717"/>
      <c r="D89" s="690"/>
      <c r="E89" s="942" t="s">
        <v>72</v>
      </c>
      <c r="F89" s="943"/>
      <c r="G89" s="944"/>
      <c r="H89" s="689" t="s">
        <v>74</v>
      </c>
      <c r="I89" s="717"/>
      <c r="J89" s="690"/>
      <c r="K89" s="24" t="s">
        <v>56</v>
      </c>
      <c r="L89" s="25"/>
      <c r="M89" s="25"/>
      <c r="N89" s="25"/>
      <c r="O89" s="25"/>
      <c r="P89" s="25"/>
      <c r="Q89" s="25"/>
      <c r="R89" s="25"/>
      <c r="S89" s="25"/>
      <c r="T89" s="25"/>
      <c r="U89" s="25"/>
      <c r="V89" s="25"/>
      <c r="W89" s="25"/>
      <c r="X89" s="26"/>
      <c r="Y89" s="684"/>
      <c r="Z89" s="685"/>
      <c r="AA89" s="27" t="s">
        <v>22</v>
      </c>
      <c r="AK89" s="306"/>
    </row>
    <row r="90" spans="2:37" ht="16.5">
      <c r="B90" s="693"/>
      <c r="C90" s="718"/>
      <c r="D90" s="692"/>
      <c r="E90" s="945"/>
      <c r="F90" s="945"/>
      <c r="G90" s="946"/>
      <c r="H90" s="693"/>
      <c r="I90" s="718"/>
      <c r="J90" s="692"/>
      <c r="K90" s="24" t="s">
        <v>57</v>
      </c>
      <c r="L90" s="25"/>
      <c r="M90" s="25"/>
      <c r="N90" s="25"/>
      <c r="O90" s="25"/>
      <c r="P90" s="25"/>
      <c r="Q90" s="25"/>
      <c r="R90" s="25"/>
      <c r="S90" s="25"/>
      <c r="T90" s="25"/>
      <c r="U90" s="25"/>
      <c r="V90" s="25"/>
      <c r="W90" s="25"/>
      <c r="X90" s="26"/>
      <c r="Y90" s="684"/>
      <c r="Z90" s="685"/>
      <c r="AA90" s="27" t="s">
        <v>22</v>
      </c>
      <c r="AK90" s="306"/>
    </row>
    <row r="91" spans="2:37" ht="15.75" customHeight="1">
      <c r="B91" s="693"/>
      <c r="C91" s="718"/>
      <c r="D91" s="692"/>
      <c r="E91" s="945"/>
      <c r="F91" s="945"/>
      <c r="G91" s="946"/>
      <c r="H91" s="693"/>
      <c r="I91" s="718"/>
      <c r="J91" s="692"/>
      <c r="K91" s="24" t="s">
        <v>58</v>
      </c>
      <c r="L91" s="25"/>
      <c r="M91" s="25"/>
      <c r="N91" s="25"/>
      <c r="O91" s="25"/>
      <c r="P91" s="25"/>
      <c r="Q91" s="25"/>
      <c r="R91" s="25"/>
      <c r="S91" s="25"/>
      <c r="T91" s="25"/>
      <c r="U91" s="25"/>
      <c r="V91" s="25"/>
      <c r="W91" s="25"/>
      <c r="X91" s="26"/>
      <c r="Y91" s="684"/>
      <c r="Z91" s="685"/>
      <c r="AA91" s="27" t="s">
        <v>22</v>
      </c>
      <c r="AK91" s="306"/>
    </row>
    <row r="92" spans="2:37" ht="17.25" customHeight="1">
      <c r="B92" s="693"/>
      <c r="C92" s="718"/>
      <c r="D92" s="692"/>
      <c r="E92" s="947"/>
      <c r="F92" s="947"/>
      <c r="G92" s="948"/>
      <c r="H92" s="693"/>
      <c r="I92" s="718"/>
      <c r="J92" s="692"/>
      <c r="K92" s="294" t="s">
        <v>522</v>
      </c>
      <c r="L92" s="295"/>
      <c r="M92" s="295"/>
      <c r="N92" s="295"/>
      <c r="O92" s="295"/>
      <c r="P92" s="295"/>
      <c r="Q92" s="295"/>
      <c r="R92" s="295"/>
      <c r="S92" s="295"/>
      <c r="T92" s="295"/>
      <c r="U92" s="295"/>
      <c r="V92" s="295"/>
      <c r="W92" s="295"/>
      <c r="X92" s="296"/>
      <c r="Y92" s="684"/>
      <c r="Z92" s="685"/>
      <c r="AA92" s="27" t="s">
        <v>22</v>
      </c>
      <c r="AI92" s="311"/>
      <c r="AJ92" s="311"/>
      <c r="AK92" s="306"/>
    </row>
    <row r="93" spans="2:37" ht="15.75" customHeight="1">
      <c r="B93" s="693"/>
      <c r="C93" s="718"/>
      <c r="D93" s="692"/>
      <c r="E93" s="22"/>
      <c r="F93" s="22"/>
      <c r="G93" s="12"/>
      <c r="H93" s="693"/>
      <c r="I93" s="718"/>
      <c r="J93" s="692"/>
      <c r="K93" s="294" t="s">
        <v>523</v>
      </c>
      <c r="L93" s="295"/>
      <c r="M93" s="295"/>
      <c r="N93" s="295"/>
      <c r="O93" s="295"/>
      <c r="P93" s="295"/>
      <c r="Q93" s="295"/>
      <c r="R93" s="295"/>
      <c r="S93" s="295"/>
      <c r="T93" s="295"/>
      <c r="U93" s="295"/>
      <c r="V93" s="295"/>
      <c r="W93" s="295"/>
      <c r="X93" s="296"/>
      <c r="Y93" s="684"/>
      <c r="Z93" s="685"/>
      <c r="AA93" s="27" t="s">
        <v>22</v>
      </c>
      <c r="AK93" s="306"/>
    </row>
    <row r="94" spans="2:37" ht="15.75" customHeight="1">
      <c r="B94" s="693"/>
      <c r="C94" s="718"/>
      <c r="D94" s="692"/>
      <c r="E94" s="949" t="str">
        <f>Y95</f>
        <v>未入力</v>
      </c>
      <c r="F94" s="950"/>
      <c r="G94" s="13" t="s">
        <v>22</v>
      </c>
      <c r="H94" s="693"/>
      <c r="I94" s="718"/>
      <c r="J94" s="692"/>
      <c r="K94" s="24" t="s">
        <v>1070</v>
      </c>
      <c r="L94" s="25"/>
      <c r="M94" s="25"/>
      <c r="N94" s="25"/>
      <c r="O94" s="25"/>
      <c r="P94" s="25"/>
      <c r="Q94" s="25"/>
      <c r="R94" s="25"/>
      <c r="S94" s="25"/>
      <c r="T94" s="25"/>
      <c r="U94" s="25"/>
      <c r="V94" s="25"/>
      <c r="W94" s="25"/>
      <c r="X94" s="26"/>
      <c r="Y94" s="684"/>
      <c r="Z94" s="685"/>
      <c r="AA94" s="27" t="s">
        <v>22</v>
      </c>
      <c r="AK94" s="306"/>
    </row>
    <row r="95" spans="2:37" ht="17.649999999999999" customHeight="1">
      <c r="B95" s="756"/>
      <c r="C95" s="757"/>
      <c r="D95" s="758"/>
      <c r="E95" s="19"/>
      <c r="F95" s="19"/>
      <c r="G95" s="15"/>
      <c r="H95" s="756"/>
      <c r="I95" s="757"/>
      <c r="J95" s="758"/>
      <c r="K95" s="291"/>
      <c r="L95" s="292"/>
      <c r="M95" s="292"/>
      <c r="N95" s="292"/>
      <c r="O95" s="292"/>
      <c r="P95" s="292"/>
      <c r="Q95" s="293"/>
      <c r="R95" s="293"/>
      <c r="S95" s="292" t="s">
        <v>73</v>
      </c>
      <c r="T95" s="292"/>
      <c r="U95" s="292"/>
      <c r="V95" s="292"/>
      <c r="W95" s="292"/>
      <c r="X95" s="20"/>
      <c r="Y95" s="731" t="str">
        <f>IF(COUNTBLANK(Y89:Y94)=6,"未入力",SUM(Y89:Y94))</f>
        <v>未入力</v>
      </c>
      <c r="Z95" s="732"/>
      <c r="AA95" s="27" t="s">
        <v>22</v>
      </c>
      <c r="AK95" s="306"/>
    </row>
    <row r="96" spans="2:37" ht="18" customHeight="1">
      <c r="B96" s="719" t="s">
        <v>951</v>
      </c>
      <c r="C96" s="801" t="s">
        <v>69</v>
      </c>
      <c r="D96" s="710"/>
      <c r="E96" s="710"/>
      <c r="F96" s="710"/>
      <c r="G96" s="710"/>
      <c r="H96" s="956" t="s">
        <v>68</v>
      </c>
      <c r="I96" s="957"/>
      <c r="J96" s="957"/>
      <c r="K96" s="957"/>
      <c r="L96" s="957"/>
      <c r="M96" s="957"/>
      <c r="N96" s="957"/>
      <c r="O96" s="957"/>
      <c r="P96" s="958"/>
      <c r="Q96" s="59" t="s">
        <v>65</v>
      </c>
      <c r="R96" s="58"/>
      <c r="S96" s="58"/>
      <c r="T96" s="58"/>
      <c r="U96" s="709" t="s">
        <v>66</v>
      </c>
      <c r="V96" s="710"/>
      <c r="W96" s="710"/>
      <c r="X96" s="709" t="s">
        <v>67</v>
      </c>
      <c r="Y96" s="710"/>
      <c r="Z96" s="710"/>
      <c r="AA96" s="710"/>
      <c r="AK96" s="306"/>
    </row>
    <row r="97" spans="2:37" ht="16.5" customHeight="1">
      <c r="B97" s="720"/>
      <c r="C97" s="804"/>
      <c r="D97" s="805"/>
      <c r="E97" s="805"/>
      <c r="F97" s="805"/>
      <c r="G97" s="805"/>
      <c r="H97" s="695"/>
      <c r="I97" s="696"/>
      <c r="J97" s="696"/>
      <c r="K97" s="696"/>
      <c r="L97" s="696"/>
      <c r="M97" s="696"/>
      <c r="N97" s="696"/>
      <c r="O97" s="696"/>
      <c r="P97" s="697"/>
      <c r="Q97" s="701"/>
      <c r="R97" s="702"/>
      <c r="S97" s="702"/>
      <c r="T97" s="26" t="s">
        <v>22</v>
      </c>
      <c r="U97" s="701"/>
      <c r="V97" s="702"/>
      <c r="W97" s="26" t="s">
        <v>22</v>
      </c>
      <c r="X97" s="733"/>
      <c r="Y97" s="734"/>
      <c r="Z97" s="734"/>
      <c r="AA97" s="735"/>
      <c r="AK97" s="306"/>
    </row>
    <row r="98" spans="2:37" ht="16.5" customHeight="1">
      <c r="B98" s="720"/>
      <c r="C98" s="804"/>
      <c r="D98" s="805"/>
      <c r="E98" s="805"/>
      <c r="F98" s="805"/>
      <c r="G98" s="805"/>
      <c r="H98" s="695"/>
      <c r="I98" s="696"/>
      <c r="J98" s="696"/>
      <c r="K98" s="696"/>
      <c r="L98" s="696"/>
      <c r="M98" s="696"/>
      <c r="N98" s="696"/>
      <c r="O98" s="696"/>
      <c r="P98" s="697"/>
      <c r="Q98" s="701"/>
      <c r="R98" s="702"/>
      <c r="S98" s="702"/>
      <c r="T98" s="26" t="s">
        <v>22</v>
      </c>
      <c r="U98" s="701"/>
      <c r="V98" s="702"/>
      <c r="W98" s="26" t="s">
        <v>22</v>
      </c>
      <c r="X98" s="733"/>
      <c r="Y98" s="734"/>
      <c r="Z98" s="734"/>
      <c r="AA98" s="735"/>
      <c r="AK98" s="306"/>
    </row>
    <row r="99" spans="2:37" ht="16.5" customHeight="1">
      <c r="B99" s="720"/>
      <c r="C99" s="804"/>
      <c r="D99" s="805"/>
      <c r="E99" s="805"/>
      <c r="F99" s="805"/>
      <c r="G99" s="805"/>
      <c r="H99" s="695"/>
      <c r="I99" s="696"/>
      <c r="J99" s="696"/>
      <c r="K99" s="696"/>
      <c r="L99" s="696"/>
      <c r="M99" s="696"/>
      <c r="N99" s="696"/>
      <c r="O99" s="696"/>
      <c r="P99" s="697"/>
      <c r="Q99" s="701"/>
      <c r="R99" s="702"/>
      <c r="S99" s="702"/>
      <c r="T99" s="26" t="s">
        <v>22</v>
      </c>
      <c r="U99" s="701"/>
      <c r="V99" s="702"/>
      <c r="W99" s="26" t="s">
        <v>22</v>
      </c>
      <c r="X99" s="733"/>
      <c r="Y99" s="734"/>
      <c r="Z99" s="734"/>
      <c r="AA99" s="735"/>
      <c r="AK99" s="306"/>
    </row>
    <row r="100" spans="2:37" ht="16.5" customHeight="1">
      <c r="B100" s="720"/>
      <c r="C100" s="804"/>
      <c r="D100" s="805"/>
      <c r="E100" s="805"/>
      <c r="F100" s="805"/>
      <c r="G100" s="805"/>
      <c r="H100" s="695"/>
      <c r="I100" s="696"/>
      <c r="J100" s="696"/>
      <c r="K100" s="696"/>
      <c r="L100" s="696"/>
      <c r="M100" s="696"/>
      <c r="N100" s="696"/>
      <c r="O100" s="696"/>
      <c r="P100" s="697"/>
      <c r="Q100" s="701"/>
      <c r="R100" s="702"/>
      <c r="S100" s="702"/>
      <c r="T100" s="26" t="s">
        <v>22</v>
      </c>
      <c r="U100" s="701"/>
      <c r="V100" s="702"/>
      <c r="W100" s="26" t="s">
        <v>22</v>
      </c>
      <c r="X100" s="733"/>
      <c r="Y100" s="734"/>
      <c r="Z100" s="734"/>
      <c r="AA100" s="735"/>
      <c r="AK100" s="306"/>
    </row>
    <row r="101" spans="2:37" ht="15" hidden="1" customHeight="1">
      <c r="B101" s="720"/>
      <c r="C101" s="723"/>
      <c r="D101" s="724"/>
      <c r="E101" s="724"/>
      <c r="F101" s="724"/>
      <c r="G101" s="725"/>
      <c r="H101" s="695"/>
      <c r="I101" s="759"/>
      <c r="J101" s="759"/>
      <c r="K101" s="759"/>
      <c r="L101" s="759"/>
      <c r="M101" s="759"/>
      <c r="N101" s="759"/>
      <c r="O101" s="759"/>
      <c r="P101" s="760"/>
      <c r="Q101" s="701"/>
      <c r="R101" s="743"/>
      <c r="S101" s="743"/>
      <c r="T101" s="26" t="s">
        <v>22</v>
      </c>
      <c r="U101" s="701"/>
      <c r="V101" s="743"/>
      <c r="W101" s="26" t="s">
        <v>22</v>
      </c>
      <c r="X101" s="695"/>
      <c r="Y101" s="759"/>
      <c r="Z101" s="759"/>
      <c r="AA101" s="760"/>
      <c r="AK101" s="306"/>
    </row>
    <row r="102" spans="2:37" ht="22.5" customHeight="1">
      <c r="B102" s="721"/>
      <c r="C102" s="736" t="s">
        <v>891</v>
      </c>
      <c r="D102" s="737"/>
      <c r="E102" s="737"/>
      <c r="F102" s="737"/>
      <c r="G102" s="737"/>
      <c r="H102" s="738"/>
      <c r="I102" s="738"/>
      <c r="J102" s="738"/>
      <c r="K102" s="738"/>
      <c r="L102" s="738"/>
      <c r="M102" s="738"/>
      <c r="N102" s="738"/>
      <c r="O102" s="738"/>
      <c r="P102" s="739"/>
      <c r="Q102" s="743"/>
      <c r="R102" s="702"/>
      <c r="S102" s="702"/>
      <c r="T102" s="460" t="s">
        <v>22</v>
      </c>
      <c r="U102" s="701"/>
      <c r="V102" s="702"/>
      <c r="W102" s="460" t="s">
        <v>22</v>
      </c>
      <c r="X102" s="733"/>
      <c r="Y102" s="734"/>
      <c r="Z102" s="734"/>
      <c r="AA102" s="735"/>
      <c r="AK102" s="306"/>
    </row>
    <row r="103" spans="2:37" ht="19.5" customHeight="1">
      <c r="B103" s="720"/>
      <c r="C103" s="744"/>
      <c r="D103" s="745"/>
      <c r="E103" s="745"/>
      <c r="F103" s="745"/>
      <c r="G103" s="746"/>
      <c r="H103" s="761" t="s">
        <v>139</v>
      </c>
      <c r="I103" s="762"/>
      <c r="J103" s="762"/>
      <c r="K103" s="762"/>
      <c r="L103" s="762"/>
      <c r="M103" s="762"/>
      <c r="N103" s="762"/>
      <c r="O103" s="762"/>
      <c r="P103" s="763"/>
      <c r="Q103" s="731" t="str">
        <f>IF(COUNTBLANK(Q97:Q102)=6,"未入力",SUM(Q97:Q102))</f>
        <v>未入力</v>
      </c>
      <c r="R103" s="732"/>
      <c r="S103" s="732"/>
      <c r="T103" s="127" t="s">
        <v>22</v>
      </c>
      <c r="U103" s="731" t="str">
        <f>IF(COUNTBLANK(U97:U102)=6,"未入力",SUM(U97:U102))</f>
        <v>未入力</v>
      </c>
      <c r="V103" s="732"/>
      <c r="W103" s="128" t="s">
        <v>22</v>
      </c>
      <c r="X103" s="750" t="s">
        <v>381</v>
      </c>
      <c r="Y103" s="751"/>
      <c r="Z103" s="751"/>
      <c r="AA103" s="752"/>
      <c r="AK103" s="306"/>
    </row>
    <row r="104" spans="2:37" ht="20.149999999999999" customHeight="1">
      <c r="B104" s="722"/>
      <c r="C104" s="747"/>
      <c r="D104" s="748"/>
      <c r="E104" s="748"/>
      <c r="F104" s="748"/>
      <c r="G104" s="749"/>
      <c r="H104" s="740" t="s">
        <v>140</v>
      </c>
      <c r="I104" s="741"/>
      <c r="J104" s="741"/>
      <c r="K104" s="741"/>
      <c r="L104" s="741"/>
      <c r="M104" s="741"/>
      <c r="N104" s="741"/>
      <c r="O104" s="741"/>
      <c r="P104" s="742"/>
      <c r="Q104" s="729" t="str">
        <f>IF(OR(Q103="未入力",U103="未入力"),"未入力",Q103+U103)</f>
        <v>未入力</v>
      </c>
      <c r="R104" s="730"/>
      <c r="S104" s="730"/>
      <c r="T104" s="730"/>
      <c r="U104" s="730"/>
      <c r="V104" s="730"/>
      <c r="W104" s="129" t="s">
        <v>22</v>
      </c>
      <c r="X104" s="753" t="str">
        <f>IF(Y95=Q103,"一致 OK","不一致 NG")</f>
        <v>一致 OK</v>
      </c>
      <c r="Y104" s="754"/>
      <c r="Z104" s="754"/>
      <c r="AA104" s="755"/>
      <c r="AK104" s="306"/>
    </row>
    <row r="105" spans="2:37" ht="6" customHeight="1">
      <c r="AK105" s="306"/>
    </row>
    <row r="106" spans="2:37" ht="19.149999999999999" customHeight="1">
      <c r="B106" s="794" t="s">
        <v>75</v>
      </c>
      <c r="C106" s="709" t="s">
        <v>76</v>
      </c>
      <c r="D106" s="710"/>
      <c r="E106" s="710"/>
      <c r="F106" s="710"/>
      <c r="G106" s="710"/>
      <c r="H106" s="710"/>
      <c r="I106" s="710"/>
      <c r="J106" s="710"/>
      <c r="K106" s="709" t="s">
        <v>77</v>
      </c>
      <c r="L106" s="710"/>
      <c r="M106" s="709" t="s">
        <v>78</v>
      </c>
      <c r="N106" s="710"/>
      <c r="O106" s="710"/>
      <c r="P106" s="710"/>
      <c r="Q106" s="710"/>
      <c r="R106" s="710"/>
      <c r="S106" s="710"/>
      <c r="T106" s="710"/>
      <c r="U106" s="710"/>
      <c r="V106" s="709" t="s">
        <v>79</v>
      </c>
      <c r="W106" s="710"/>
      <c r="X106" s="710"/>
      <c r="Y106" s="710"/>
      <c r="Z106" s="710"/>
      <c r="AA106" s="710"/>
      <c r="AK106" s="306"/>
    </row>
    <row r="107" spans="2:37" ht="19.149999999999999" customHeight="1">
      <c r="B107" s="795"/>
      <c r="C107" s="713"/>
      <c r="D107" s="714"/>
      <c r="E107" s="714"/>
      <c r="F107" s="714"/>
      <c r="G107" s="714"/>
      <c r="H107" s="714"/>
      <c r="I107" s="714"/>
      <c r="J107" s="714"/>
      <c r="K107" s="711"/>
      <c r="L107" s="712"/>
      <c r="M107" s="713"/>
      <c r="N107" s="714"/>
      <c r="O107" s="714"/>
      <c r="P107" s="714"/>
      <c r="Q107" s="714"/>
      <c r="R107" s="714"/>
      <c r="S107" s="714"/>
      <c r="T107" s="714"/>
      <c r="U107" s="714"/>
      <c r="V107" s="713"/>
      <c r="W107" s="714"/>
      <c r="X107" s="714"/>
      <c r="Y107" s="714"/>
      <c r="Z107" s="714"/>
      <c r="AA107" s="714"/>
      <c r="AK107" s="306"/>
    </row>
    <row r="108" spans="2:37" ht="19.149999999999999" customHeight="1">
      <c r="B108" s="795"/>
      <c r="C108" s="726"/>
      <c r="D108" s="727"/>
      <c r="E108" s="727"/>
      <c r="F108" s="727"/>
      <c r="G108" s="727"/>
      <c r="H108" s="727"/>
      <c r="I108" s="727"/>
      <c r="J108" s="728"/>
      <c r="K108" s="799"/>
      <c r="L108" s="800"/>
      <c r="M108" s="726"/>
      <c r="N108" s="727"/>
      <c r="O108" s="727"/>
      <c r="P108" s="727"/>
      <c r="Q108" s="727"/>
      <c r="R108" s="727"/>
      <c r="S108" s="727"/>
      <c r="T108" s="727"/>
      <c r="U108" s="728"/>
      <c r="V108" s="726"/>
      <c r="W108" s="727"/>
      <c r="X108" s="727"/>
      <c r="Y108" s="727"/>
      <c r="Z108" s="727"/>
      <c r="AA108" s="728"/>
      <c r="AK108" s="306"/>
    </row>
    <row r="109" spans="2:37" ht="19.149999999999999" customHeight="1">
      <c r="B109" s="796"/>
      <c r="C109" s="726"/>
      <c r="D109" s="727"/>
      <c r="E109" s="727"/>
      <c r="F109" s="727"/>
      <c r="G109" s="727"/>
      <c r="H109" s="727"/>
      <c r="I109" s="727"/>
      <c r="J109" s="728"/>
      <c r="K109" s="799"/>
      <c r="L109" s="800"/>
      <c r="M109" s="726"/>
      <c r="N109" s="727"/>
      <c r="O109" s="727"/>
      <c r="P109" s="727"/>
      <c r="Q109" s="727"/>
      <c r="R109" s="727"/>
      <c r="S109" s="727"/>
      <c r="T109" s="727"/>
      <c r="U109" s="728"/>
      <c r="V109" s="726"/>
      <c r="W109" s="727"/>
      <c r="X109" s="727"/>
      <c r="Y109" s="727"/>
      <c r="Z109" s="727"/>
      <c r="AA109" s="728"/>
      <c r="AK109" s="306"/>
    </row>
    <row r="110" spans="2:37" ht="11.25" hidden="1" customHeight="1">
      <c r="B110" s="37"/>
      <c r="C110" s="43"/>
      <c r="D110" s="37"/>
      <c r="E110" s="37"/>
      <c r="F110" s="37"/>
      <c r="G110" s="37"/>
      <c r="H110" s="37"/>
      <c r="I110" s="37"/>
      <c r="J110" s="37"/>
      <c r="K110" s="43"/>
      <c r="L110" s="37"/>
      <c r="M110" s="43"/>
      <c r="N110" s="37"/>
      <c r="O110" s="37"/>
      <c r="P110" s="37"/>
      <c r="Q110" s="37"/>
      <c r="R110" s="37"/>
      <c r="S110" s="37"/>
      <c r="T110" s="37"/>
      <c r="U110" s="37"/>
      <c r="V110" s="43"/>
      <c r="W110" s="37"/>
      <c r="X110" s="37"/>
      <c r="Y110" s="37"/>
      <c r="Z110" s="37"/>
      <c r="AA110" s="37"/>
      <c r="AK110" s="306"/>
    </row>
    <row r="111" spans="2:37" ht="19.149999999999999" customHeight="1">
      <c r="B111" s="686" t="s">
        <v>80</v>
      </c>
      <c r="C111" s="687"/>
      <c r="D111" s="687"/>
      <c r="E111" s="687"/>
      <c r="F111" s="687"/>
      <c r="G111" s="687"/>
      <c r="H111" s="687"/>
      <c r="I111" s="687"/>
      <c r="J111" s="688"/>
      <c r="K111" s="686" t="s">
        <v>68</v>
      </c>
      <c r="L111" s="687"/>
      <c r="M111" s="687"/>
      <c r="N111" s="687"/>
      <c r="O111" s="687"/>
      <c r="P111" s="687"/>
      <c r="Q111" s="687"/>
      <c r="R111" s="688"/>
      <c r="S111" s="686" t="s">
        <v>81</v>
      </c>
      <c r="T111" s="687"/>
      <c r="U111" s="687"/>
      <c r="V111" s="687"/>
      <c r="W111" s="688"/>
      <c r="X111" s="686" t="s">
        <v>82</v>
      </c>
      <c r="Y111" s="687"/>
      <c r="Z111" s="687"/>
      <c r="AA111" s="688"/>
      <c r="AK111" s="306"/>
    </row>
    <row r="112" spans="2:37" ht="22.5" customHeight="1">
      <c r="B112" s="544" t="s">
        <v>1026</v>
      </c>
      <c r="C112" s="776"/>
      <c r="D112" s="777"/>
      <c r="E112" s="777"/>
      <c r="F112" s="777"/>
      <c r="G112" s="777"/>
      <c r="H112" s="777"/>
      <c r="I112" s="777"/>
      <c r="J112" s="777"/>
      <c r="K112" s="776"/>
      <c r="L112" s="777"/>
      <c r="M112" s="777"/>
      <c r="N112" s="777"/>
      <c r="O112" s="777"/>
      <c r="P112" s="777"/>
      <c r="Q112" s="777"/>
      <c r="R112" s="777"/>
      <c r="S112" s="965"/>
      <c r="T112" s="966"/>
      <c r="U112" s="966"/>
      <c r="V112" s="769" t="s">
        <v>53</v>
      </c>
      <c r="W112" s="770"/>
      <c r="X112" s="797"/>
      <c r="Y112" s="798"/>
      <c r="Z112" s="798"/>
      <c r="AA112" s="28" t="s">
        <v>4</v>
      </c>
      <c r="AK112" s="306"/>
    </row>
    <row r="113" spans="2:36" ht="5.65" customHeight="1">
      <c r="AI113" s="311"/>
      <c r="AJ113" s="311"/>
    </row>
    <row r="114" spans="2:36" ht="18.649999999999999" customHeight="1">
      <c r="B114" s="6" t="s">
        <v>70</v>
      </c>
      <c r="C114" s="7" t="s">
        <v>71</v>
      </c>
      <c r="D114" s="138"/>
      <c r="E114" s="138"/>
      <c r="F114" s="138"/>
      <c r="G114" s="138"/>
      <c r="H114" s="138"/>
      <c r="I114" s="138"/>
      <c r="J114" s="138"/>
      <c r="K114" s="138"/>
    </row>
    <row r="115" spans="2:36" ht="21.65" customHeight="1">
      <c r="B115" s="686" t="s">
        <v>91</v>
      </c>
      <c r="C115" s="715"/>
      <c r="D115" s="715"/>
      <c r="E115" s="715"/>
      <c r="F115" s="716"/>
      <c r="G115" s="686" t="s">
        <v>93</v>
      </c>
      <c r="H115" s="687"/>
      <c r="I115" s="687"/>
      <c r="J115" s="687"/>
      <c r="K115" s="688"/>
      <c r="L115" s="686" t="s">
        <v>92</v>
      </c>
      <c r="M115" s="687"/>
      <c r="N115" s="688"/>
      <c r="O115" s="686" t="s">
        <v>91</v>
      </c>
      <c r="P115" s="687"/>
      <c r="Q115" s="687"/>
      <c r="R115" s="687"/>
      <c r="S115" s="688"/>
      <c r="T115" s="686" t="s">
        <v>93</v>
      </c>
      <c r="U115" s="687"/>
      <c r="V115" s="687"/>
      <c r="W115" s="687"/>
      <c r="X115" s="688"/>
      <c r="Y115" s="686" t="s">
        <v>92</v>
      </c>
      <c r="Z115" s="687"/>
      <c r="AA115" s="688"/>
    </row>
    <row r="116" spans="2:36" ht="23.15" customHeight="1">
      <c r="B116" s="16" t="s">
        <v>83</v>
      </c>
      <c r="C116" s="764"/>
      <c r="D116" s="765"/>
      <c r="E116" s="765"/>
      <c r="F116" s="766"/>
      <c r="G116" s="967"/>
      <c r="H116" s="968"/>
      <c r="I116" s="968"/>
      <c r="J116" s="968"/>
      <c r="K116" s="969"/>
      <c r="L116" s="726"/>
      <c r="M116" s="774"/>
      <c r="N116" s="775"/>
      <c r="O116" s="16" t="s">
        <v>87</v>
      </c>
      <c r="P116" s="764"/>
      <c r="Q116" s="765"/>
      <c r="R116" s="765"/>
      <c r="S116" s="766"/>
      <c r="T116" s="967"/>
      <c r="U116" s="968"/>
      <c r="V116" s="968"/>
      <c r="W116" s="968"/>
      <c r="X116" s="969"/>
      <c r="Y116" s="726"/>
      <c r="Z116" s="774"/>
      <c r="AA116" s="775"/>
    </row>
    <row r="117" spans="2:36" ht="23.15" customHeight="1">
      <c r="B117" s="16" t="s">
        <v>84</v>
      </c>
      <c r="C117" s="764"/>
      <c r="D117" s="765"/>
      <c r="E117" s="765"/>
      <c r="F117" s="766"/>
      <c r="G117" s="771"/>
      <c r="H117" s="772"/>
      <c r="I117" s="772"/>
      <c r="J117" s="772"/>
      <c r="K117" s="773"/>
      <c r="L117" s="726"/>
      <c r="M117" s="774"/>
      <c r="N117" s="775"/>
      <c r="O117" s="16" t="s">
        <v>88</v>
      </c>
      <c r="P117" s="764"/>
      <c r="Q117" s="765"/>
      <c r="R117" s="765"/>
      <c r="S117" s="766"/>
      <c r="T117" s="771"/>
      <c r="U117" s="772"/>
      <c r="V117" s="772"/>
      <c r="W117" s="772"/>
      <c r="X117" s="773"/>
      <c r="Y117" s="726"/>
      <c r="Z117" s="774"/>
      <c r="AA117" s="775"/>
    </row>
    <row r="118" spans="2:36" ht="23.15" customHeight="1">
      <c r="B118" s="16" t="s">
        <v>85</v>
      </c>
      <c r="C118" s="764"/>
      <c r="D118" s="765"/>
      <c r="E118" s="765"/>
      <c r="F118" s="766"/>
      <c r="G118" s="771"/>
      <c r="H118" s="772"/>
      <c r="I118" s="772"/>
      <c r="J118" s="772"/>
      <c r="K118" s="773"/>
      <c r="L118" s="726"/>
      <c r="M118" s="774"/>
      <c r="N118" s="775"/>
      <c r="O118" s="16" t="s">
        <v>89</v>
      </c>
      <c r="P118" s="764"/>
      <c r="Q118" s="765"/>
      <c r="R118" s="765"/>
      <c r="S118" s="766"/>
      <c r="T118" s="771"/>
      <c r="U118" s="772"/>
      <c r="V118" s="772"/>
      <c r="W118" s="772"/>
      <c r="X118" s="773"/>
      <c r="Y118" s="726"/>
      <c r="Z118" s="774"/>
      <c r="AA118" s="775"/>
    </row>
    <row r="119" spans="2:36" ht="23.15" customHeight="1">
      <c r="B119" s="16" t="s">
        <v>86</v>
      </c>
      <c r="C119" s="764"/>
      <c r="D119" s="765"/>
      <c r="E119" s="765"/>
      <c r="F119" s="766"/>
      <c r="G119" s="771"/>
      <c r="H119" s="772"/>
      <c r="I119" s="772"/>
      <c r="J119" s="772"/>
      <c r="K119" s="773"/>
      <c r="L119" s="726"/>
      <c r="M119" s="774"/>
      <c r="N119" s="775"/>
      <c r="O119" s="16" t="s">
        <v>90</v>
      </c>
      <c r="P119" s="764"/>
      <c r="Q119" s="765"/>
      <c r="R119" s="765"/>
      <c r="S119" s="766"/>
      <c r="T119" s="771"/>
      <c r="U119" s="772"/>
      <c r="V119" s="772"/>
      <c r="W119" s="772"/>
      <c r="X119" s="773"/>
      <c r="Y119" s="726"/>
      <c r="Z119" s="774"/>
      <c r="AA119" s="775"/>
    </row>
    <row r="120" spans="2:36" ht="20.65" customHeight="1">
      <c r="B120" s="1000" t="s">
        <v>412</v>
      </c>
      <c r="C120" s="1001"/>
      <c r="D120" s="1001"/>
      <c r="E120" s="1001"/>
      <c r="F120" s="1001"/>
      <c r="G120" s="1001"/>
      <c r="H120" s="1001"/>
      <c r="I120" s="1001"/>
      <c r="J120" s="1001"/>
      <c r="K120" s="1002"/>
      <c r="L120" s="872"/>
      <c r="M120" s="873"/>
      <c r="N120" s="873"/>
      <c r="O120" s="873"/>
      <c r="P120" s="873"/>
      <c r="Q120" s="873"/>
      <c r="R120" s="873"/>
      <c r="S120" s="873"/>
      <c r="T120" s="873"/>
      <c r="U120" s="873"/>
      <c r="V120" s="873"/>
      <c r="W120" s="873"/>
      <c r="X120" s="873"/>
      <c r="Y120" s="873"/>
      <c r="Z120" s="873"/>
      <c r="AA120" s="874"/>
    </row>
    <row r="121" spans="2:36" ht="40.5" customHeight="1">
      <c r="B121" s="1003"/>
      <c r="C121" s="1004"/>
      <c r="D121" s="1004"/>
      <c r="E121" s="1004"/>
      <c r="F121" s="1004"/>
      <c r="G121" s="1004"/>
      <c r="H121" s="1004"/>
      <c r="I121" s="1004"/>
      <c r="J121" s="1004"/>
      <c r="K121" s="978"/>
      <c r="L121" s="875"/>
      <c r="M121" s="876"/>
      <c r="N121" s="876"/>
      <c r="O121" s="876"/>
      <c r="P121" s="876"/>
      <c r="Q121" s="876"/>
      <c r="R121" s="876"/>
      <c r="S121" s="876"/>
      <c r="T121" s="876"/>
      <c r="U121" s="876"/>
      <c r="V121" s="876"/>
      <c r="W121" s="876"/>
      <c r="X121" s="876"/>
      <c r="Y121" s="876"/>
      <c r="Z121" s="876"/>
      <c r="AA121" s="877"/>
    </row>
    <row r="122" spans="2:36" ht="5.15" customHeight="1"/>
    <row r="123" spans="2:36" ht="14.65" hidden="1" customHeight="1">
      <c r="B123" s="6" t="s">
        <v>94</v>
      </c>
      <c r="C123" s="7" t="s">
        <v>440</v>
      </c>
      <c r="D123" s="138"/>
      <c r="E123" s="138"/>
      <c r="F123" s="138"/>
      <c r="G123" s="138"/>
      <c r="H123" s="138"/>
      <c r="I123" s="138"/>
      <c r="J123" s="138"/>
      <c r="K123" s="138"/>
      <c r="L123" s="138"/>
      <c r="M123" s="138"/>
      <c r="N123" s="138"/>
      <c r="O123" s="138"/>
      <c r="P123" s="138"/>
      <c r="Q123" s="138"/>
      <c r="R123" s="138"/>
      <c r="S123" s="138"/>
      <c r="T123" s="138"/>
      <c r="U123" s="138"/>
      <c r="V123" s="138"/>
      <c r="W123" s="138"/>
      <c r="X123" s="138"/>
      <c r="Y123" s="138"/>
    </row>
    <row r="124" spans="2:36" ht="12" hidden="1" customHeight="1">
      <c r="B124" s="8"/>
      <c r="C124" s="3" t="s">
        <v>411</v>
      </c>
    </row>
    <row r="125" spans="2:36" ht="24" hidden="1" customHeight="1">
      <c r="B125" s="878" t="s">
        <v>892</v>
      </c>
      <c r="C125" s="879"/>
      <c r="D125" s="879"/>
      <c r="E125" s="879"/>
      <c r="F125" s="879"/>
      <c r="G125" s="880"/>
      <c r="H125" s="740" t="s">
        <v>93</v>
      </c>
      <c r="I125" s="742"/>
      <c r="J125" s="742"/>
      <c r="K125" s="742"/>
      <c r="L125" s="742"/>
      <c r="M125" s="742"/>
      <c r="N125" s="742"/>
      <c r="O125" s="742"/>
      <c r="P125" s="686" t="s">
        <v>92</v>
      </c>
      <c r="Q125" s="687"/>
      <c r="R125" s="688"/>
      <c r="S125" s="686" t="s">
        <v>524</v>
      </c>
      <c r="T125" s="687"/>
      <c r="U125" s="687"/>
      <c r="V125" s="688"/>
      <c r="W125" s="970" t="s">
        <v>525</v>
      </c>
      <c r="X125" s="971"/>
      <c r="Y125" s="972"/>
      <c r="Z125" s="903" t="s">
        <v>95</v>
      </c>
      <c r="AA125" s="904"/>
    </row>
    <row r="126" spans="2:36" ht="19.5" hidden="1" customHeight="1">
      <c r="B126" s="16" t="s">
        <v>83</v>
      </c>
      <c r="C126" s="767"/>
      <c r="D126" s="768"/>
      <c r="E126" s="768"/>
      <c r="F126" s="768"/>
      <c r="G126" s="768"/>
      <c r="H126" s="899"/>
      <c r="I126" s="900"/>
      <c r="J126" s="900"/>
      <c r="K126" s="900"/>
      <c r="L126" s="900"/>
      <c r="M126" s="900"/>
      <c r="N126" s="900"/>
      <c r="O126" s="900"/>
      <c r="P126" s="799"/>
      <c r="Q126" s="871"/>
      <c r="R126" s="800"/>
      <c r="S126" s="979"/>
      <c r="T126" s="980"/>
      <c r="U126" s="981"/>
      <c r="V126" s="28" t="s">
        <v>96</v>
      </c>
      <c r="W126" s="852" t="str">
        <f t="shared" ref="W126:W133" si="0">IFERROR((S126/$S$133),"")</f>
        <v/>
      </c>
      <c r="X126" s="853"/>
      <c r="Y126" s="853"/>
      <c r="Z126" s="901"/>
      <c r="AA126" s="902"/>
    </row>
    <row r="127" spans="2:36" ht="19.5" hidden="1" customHeight="1">
      <c r="B127" s="16" t="s">
        <v>84</v>
      </c>
      <c r="C127" s="767"/>
      <c r="D127" s="768"/>
      <c r="E127" s="768"/>
      <c r="F127" s="768"/>
      <c r="G127" s="768"/>
      <c r="H127" s="899"/>
      <c r="I127" s="900"/>
      <c r="J127" s="900"/>
      <c r="K127" s="900"/>
      <c r="L127" s="900"/>
      <c r="M127" s="900"/>
      <c r="N127" s="900"/>
      <c r="O127" s="900"/>
      <c r="P127" s="799"/>
      <c r="Q127" s="871"/>
      <c r="R127" s="800"/>
      <c r="S127" s="979"/>
      <c r="T127" s="980"/>
      <c r="U127" s="981"/>
      <c r="V127" s="28" t="s">
        <v>96</v>
      </c>
      <c r="W127" s="852" t="str">
        <f t="shared" si="0"/>
        <v/>
      </c>
      <c r="X127" s="853"/>
      <c r="Y127" s="853"/>
      <c r="Z127" s="901"/>
      <c r="AA127" s="902"/>
    </row>
    <row r="128" spans="2:36" ht="19.5" hidden="1" customHeight="1">
      <c r="B128" s="16" t="s">
        <v>85</v>
      </c>
      <c r="C128" s="767"/>
      <c r="D128" s="768"/>
      <c r="E128" s="768"/>
      <c r="F128" s="768"/>
      <c r="G128" s="768"/>
      <c r="H128" s="899"/>
      <c r="I128" s="900"/>
      <c r="J128" s="900"/>
      <c r="K128" s="900"/>
      <c r="L128" s="900"/>
      <c r="M128" s="900"/>
      <c r="N128" s="900"/>
      <c r="O128" s="900"/>
      <c r="P128" s="799"/>
      <c r="Q128" s="871"/>
      <c r="R128" s="800"/>
      <c r="S128" s="979"/>
      <c r="T128" s="980"/>
      <c r="U128" s="981"/>
      <c r="V128" s="28" t="s">
        <v>96</v>
      </c>
      <c r="W128" s="852" t="str">
        <f t="shared" si="0"/>
        <v/>
      </c>
      <c r="X128" s="853"/>
      <c r="Y128" s="853"/>
      <c r="Z128" s="901"/>
      <c r="AA128" s="902"/>
    </row>
    <row r="129" spans="2:31" ht="19.5" hidden="1" customHeight="1">
      <c r="B129" s="16" t="s">
        <v>86</v>
      </c>
      <c r="C129" s="767"/>
      <c r="D129" s="768"/>
      <c r="E129" s="768"/>
      <c r="F129" s="768"/>
      <c r="G129" s="768"/>
      <c r="H129" s="899"/>
      <c r="I129" s="900"/>
      <c r="J129" s="900"/>
      <c r="K129" s="900"/>
      <c r="L129" s="900"/>
      <c r="M129" s="900"/>
      <c r="N129" s="900"/>
      <c r="O129" s="900"/>
      <c r="P129" s="799"/>
      <c r="Q129" s="871"/>
      <c r="R129" s="800"/>
      <c r="S129" s="979"/>
      <c r="T129" s="980"/>
      <c r="U129" s="981"/>
      <c r="V129" s="28" t="s">
        <v>96</v>
      </c>
      <c r="W129" s="852" t="str">
        <f t="shared" si="0"/>
        <v/>
      </c>
      <c r="X129" s="853"/>
      <c r="Y129" s="853"/>
      <c r="Z129" s="901"/>
      <c r="AA129" s="902"/>
    </row>
    <row r="130" spans="2:31" ht="19.5" hidden="1" customHeight="1">
      <c r="B130" s="11" t="s">
        <v>87</v>
      </c>
      <c r="C130" s="767"/>
      <c r="D130" s="768"/>
      <c r="E130" s="768"/>
      <c r="F130" s="768"/>
      <c r="G130" s="768"/>
      <c r="H130" s="899"/>
      <c r="I130" s="900"/>
      <c r="J130" s="900"/>
      <c r="K130" s="900"/>
      <c r="L130" s="900"/>
      <c r="M130" s="900"/>
      <c r="N130" s="900"/>
      <c r="O130" s="900"/>
      <c r="P130" s="799"/>
      <c r="Q130" s="871"/>
      <c r="R130" s="800"/>
      <c r="S130" s="979"/>
      <c r="T130" s="980"/>
      <c r="U130" s="981"/>
      <c r="V130" s="28" t="s">
        <v>96</v>
      </c>
      <c r="W130" s="852" t="str">
        <f t="shared" ref="W130" si="1">IFERROR((S130/$S$133),"")</f>
        <v/>
      </c>
      <c r="X130" s="853"/>
      <c r="Y130" s="853"/>
      <c r="Z130" s="901"/>
      <c r="AA130" s="902"/>
    </row>
    <row r="131" spans="2:31" ht="19.5" hidden="1" customHeight="1">
      <c r="B131" s="11" t="s">
        <v>88</v>
      </c>
      <c r="C131" s="767"/>
      <c r="D131" s="768"/>
      <c r="E131" s="768"/>
      <c r="F131" s="768"/>
      <c r="G131" s="768"/>
      <c r="H131" s="899"/>
      <c r="I131" s="900"/>
      <c r="J131" s="900"/>
      <c r="K131" s="900"/>
      <c r="L131" s="900"/>
      <c r="M131" s="900"/>
      <c r="N131" s="900"/>
      <c r="O131" s="900"/>
      <c r="P131" s="975"/>
      <c r="Q131" s="976"/>
      <c r="R131" s="977"/>
      <c r="S131" s="979"/>
      <c r="T131" s="980"/>
      <c r="U131" s="981"/>
      <c r="V131" s="28" t="s">
        <v>96</v>
      </c>
      <c r="W131" s="852" t="str">
        <f t="shared" si="0"/>
        <v/>
      </c>
      <c r="X131" s="853"/>
      <c r="Y131" s="853"/>
      <c r="Z131" s="901"/>
      <c r="AA131" s="902"/>
    </row>
    <row r="132" spans="2:31" ht="21" hidden="1" customHeight="1">
      <c r="B132" s="16" t="s">
        <v>410</v>
      </c>
      <c r="C132" s="50" t="s">
        <v>420</v>
      </c>
      <c r="D132" s="109"/>
      <c r="E132" s="171"/>
      <c r="F132" s="109" t="s">
        <v>421</v>
      </c>
      <c r="G132" s="109"/>
      <c r="H132" s="109"/>
      <c r="I132" s="109"/>
      <c r="J132" s="109"/>
      <c r="K132" s="109"/>
      <c r="L132" s="109"/>
      <c r="M132" s="109"/>
      <c r="N132" s="109"/>
      <c r="O132" s="109"/>
      <c r="P132" s="109"/>
      <c r="Q132" s="109"/>
      <c r="R132" s="110"/>
      <c r="S132" s="980"/>
      <c r="T132" s="980"/>
      <c r="U132" s="981"/>
      <c r="V132" s="28" t="s">
        <v>96</v>
      </c>
      <c r="W132" s="852" t="str">
        <f t="shared" si="0"/>
        <v/>
      </c>
      <c r="X132" s="853"/>
      <c r="Y132" s="853"/>
      <c r="Z132" s="901"/>
      <c r="AA132" s="902"/>
    </row>
    <row r="133" spans="2:31" ht="19.149999999999999" hidden="1" customHeight="1">
      <c r="B133" s="843" t="s">
        <v>97</v>
      </c>
      <c r="C133" s="850"/>
      <c r="D133" s="850"/>
      <c r="E133" s="850"/>
      <c r="F133" s="850"/>
      <c r="G133" s="850"/>
      <c r="H133" s="850"/>
      <c r="I133" s="850"/>
      <c r="J133" s="850"/>
      <c r="K133" s="850"/>
      <c r="L133" s="850"/>
      <c r="M133" s="850"/>
      <c r="N133" s="850"/>
      <c r="O133" s="894"/>
      <c r="P133" s="894"/>
      <c r="Q133" s="894"/>
      <c r="R133" s="978"/>
      <c r="S133" s="856">
        <f>SUM(S126:S132)</f>
        <v>0</v>
      </c>
      <c r="T133" s="857"/>
      <c r="U133" s="858"/>
      <c r="V133" s="28" t="s">
        <v>96</v>
      </c>
      <c r="W133" s="852" t="str">
        <f t="shared" si="0"/>
        <v/>
      </c>
      <c r="X133" s="853"/>
      <c r="Y133" s="853"/>
      <c r="Z133" s="973"/>
      <c r="AA133" s="974"/>
    </row>
    <row r="134" spans="2:31" ht="27" hidden="1" customHeight="1">
      <c r="B134" s="862" t="s">
        <v>98</v>
      </c>
      <c r="C134" s="863"/>
      <c r="D134" s="863"/>
      <c r="E134" s="863"/>
      <c r="F134" s="863"/>
      <c r="G134" s="863"/>
      <c r="H134" s="863"/>
      <c r="I134" s="863"/>
      <c r="J134" s="863"/>
      <c r="K134" s="854"/>
      <c r="L134" s="864"/>
      <c r="M134" s="864"/>
      <c r="N134" s="864"/>
      <c r="O134" s="864"/>
      <c r="P134" s="864"/>
      <c r="Q134" s="864"/>
      <c r="R134" s="864"/>
      <c r="S134" s="864"/>
      <c r="T134" s="864"/>
      <c r="U134" s="864"/>
      <c r="V134" s="864"/>
      <c r="W134" s="864"/>
      <c r="X134" s="864"/>
      <c r="Y134" s="864"/>
      <c r="Z134" s="864"/>
      <c r="AA134" s="865"/>
    </row>
    <row r="135" spans="2:31" ht="17.649999999999999" hidden="1" customHeight="1">
      <c r="B135" s="999" t="s">
        <v>99</v>
      </c>
      <c r="C135" s="836"/>
      <c r="D135" s="836"/>
      <c r="E135" s="836"/>
      <c r="F135" s="836"/>
      <c r="G135" s="836"/>
      <c r="H135" s="836"/>
      <c r="I135" s="836"/>
      <c r="J135" s="836"/>
      <c r="K135" s="836"/>
      <c r="L135" s="836"/>
      <c r="M135" s="836"/>
      <c r="N135" s="836"/>
      <c r="O135" s="836"/>
      <c r="P135" s="836"/>
      <c r="Q135" s="836"/>
      <c r="R135" s="836"/>
      <c r="S135" s="836"/>
      <c r="T135" s="836"/>
      <c r="U135" s="836"/>
      <c r="V135" s="836"/>
      <c r="W135" s="836"/>
      <c r="X135" s="836"/>
      <c r="Y135" s="836"/>
      <c r="Z135" s="836"/>
      <c r="AA135" s="837"/>
    </row>
    <row r="136" spans="2:31" ht="23.15" hidden="1" customHeight="1">
      <c r="B136" s="872"/>
      <c r="C136" s="895"/>
      <c r="D136" s="895"/>
      <c r="E136" s="895"/>
      <c r="F136" s="895"/>
      <c r="G136" s="896"/>
      <c r="H136" s="891" t="s">
        <v>102</v>
      </c>
      <c r="I136" s="892"/>
      <c r="J136" s="892"/>
      <c r="K136" s="892"/>
      <c r="L136" s="892"/>
      <c r="M136" s="996"/>
      <c r="N136" s="997"/>
      <c r="O136" s="997"/>
      <c r="P136" s="997"/>
      <c r="Q136" s="997"/>
      <c r="R136" s="997"/>
      <c r="S136" s="997"/>
      <c r="T136" s="997"/>
      <c r="U136" s="997"/>
      <c r="V136" s="998"/>
      <c r="W136" s="31" t="s">
        <v>100</v>
      </c>
      <c r="X136" s="883"/>
      <c r="Y136" s="884"/>
      <c r="Z136" s="30" t="s">
        <v>101</v>
      </c>
      <c r="AA136" s="32"/>
    </row>
    <row r="137" spans="2:31" ht="23.15" hidden="1" customHeight="1">
      <c r="B137" s="897"/>
      <c r="C137" s="886"/>
      <c r="D137" s="886"/>
      <c r="E137" s="886"/>
      <c r="F137" s="886"/>
      <c r="G137" s="898"/>
      <c r="H137" s="893" t="s">
        <v>103</v>
      </c>
      <c r="I137" s="894"/>
      <c r="J137" s="894"/>
      <c r="K137" s="894"/>
      <c r="L137" s="894"/>
      <c r="M137" s="859"/>
      <c r="N137" s="860"/>
      <c r="O137" s="860"/>
      <c r="P137" s="860"/>
      <c r="Q137" s="860"/>
      <c r="R137" s="860"/>
      <c r="S137" s="860"/>
      <c r="T137" s="860"/>
      <c r="U137" s="860"/>
      <c r="V137" s="861"/>
      <c r="W137" s="29" t="s">
        <v>100</v>
      </c>
      <c r="X137" s="885"/>
      <c r="Y137" s="886"/>
      <c r="Z137" s="19" t="s">
        <v>101</v>
      </c>
      <c r="AA137" s="15"/>
      <c r="AD137" s="326" t="s">
        <v>382</v>
      </c>
    </row>
    <row r="138" spans="2:31" ht="18.649999999999999" hidden="1" customHeight="1">
      <c r="AD138" s="326" t="s">
        <v>62</v>
      </c>
    </row>
    <row r="139" spans="2:31" ht="21.75" customHeight="1">
      <c r="B139" s="526" t="s">
        <v>1042</v>
      </c>
      <c r="C139" s="539" t="s">
        <v>1064</v>
      </c>
      <c r="D139" s="138"/>
      <c r="E139" s="138"/>
      <c r="F139" s="138"/>
      <c r="G139" s="138"/>
      <c r="H139" s="138"/>
      <c r="I139" s="138"/>
      <c r="J139" s="138"/>
      <c r="K139" s="138"/>
      <c r="L139" s="138"/>
      <c r="M139" s="138"/>
      <c r="N139" s="138"/>
    </row>
    <row r="140" spans="2:31" ht="15.75" customHeight="1">
      <c r="B140" s="6"/>
      <c r="C140" s="887" t="s">
        <v>493</v>
      </c>
      <c r="D140" s="888"/>
      <c r="E140" s="207"/>
      <c r="F140" s="175" t="s">
        <v>495</v>
      </c>
      <c r="G140" s="3"/>
      <c r="H140" s="3"/>
      <c r="Q140" s="889" t="s">
        <v>492</v>
      </c>
      <c r="R140" s="890"/>
      <c r="S140" s="208"/>
      <c r="T140" s="175" t="s">
        <v>528</v>
      </c>
      <c r="U140" s="175"/>
      <c r="AD140" s="326" t="s">
        <v>409</v>
      </c>
      <c r="AE140" s="302" t="s">
        <v>527</v>
      </c>
    </row>
    <row r="141" spans="2:31" ht="13.5" customHeight="1">
      <c r="B141" s="8"/>
      <c r="C141" s="3" t="s">
        <v>494</v>
      </c>
    </row>
    <row r="142" spans="2:31" ht="12" customHeight="1">
      <c r="B142" s="82" t="s">
        <v>526</v>
      </c>
      <c r="C142" s="61"/>
      <c r="D142" s="61"/>
      <c r="E142" s="61"/>
      <c r="F142" s="61"/>
      <c r="G142" s="60"/>
    </row>
    <row r="143" spans="2:31" ht="12.75" customHeight="1">
      <c r="B143" s="8"/>
      <c r="D143" s="3"/>
    </row>
    <row r="144" spans="2:31" ht="27" customHeight="1">
      <c r="B144" s="179" t="s">
        <v>249</v>
      </c>
      <c r="C144" s="686" t="s">
        <v>105</v>
      </c>
      <c r="D144" s="837"/>
      <c r="E144" s="686" t="s">
        <v>106</v>
      </c>
      <c r="F144" s="715"/>
      <c r="G144" s="715"/>
      <c r="H144" s="716"/>
      <c r="I144" s="709" t="s">
        <v>107</v>
      </c>
      <c r="J144" s="710"/>
      <c r="K144" s="710"/>
      <c r="L144" s="710"/>
      <c r="M144" s="710"/>
      <c r="N144" s="709" t="s">
        <v>108</v>
      </c>
      <c r="O144" s="710"/>
      <c r="P144" s="710"/>
      <c r="Q144" s="710"/>
      <c r="R144" s="710"/>
      <c r="S144" s="881" t="s">
        <v>109</v>
      </c>
      <c r="T144" s="882"/>
      <c r="U144" s="882"/>
      <c r="V144" s="882"/>
      <c r="W144" s="866" t="s">
        <v>110</v>
      </c>
      <c r="X144" s="867"/>
      <c r="Y144" s="867"/>
      <c r="Z144" s="867"/>
      <c r="AA144" s="867"/>
    </row>
    <row r="145" spans="1:40" ht="24.65" customHeight="1">
      <c r="A145" s="112" t="str">
        <f>IF(OR(AND(I145="",N145=""),AND(B145&lt;&gt;"")),"","未入力")</f>
        <v/>
      </c>
      <c r="B145" s="172"/>
      <c r="C145" s="799"/>
      <c r="D145" s="800"/>
      <c r="E145" s="771"/>
      <c r="F145" s="854"/>
      <c r="G145" s="854"/>
      <c r="H145" s="855"/>
      <c r="I145" s="809"/>
      <c r="J145" s="809"/>
      <c r="K145" s="809"/>
      <c r="L145" s="809"/>
      <c r="M145" s="809"/>
      <c r="N145" s="809"/>
      <c r="O145" s="809"/>
      <c r="P145" s="809"/>
      <c r="Q145" s="809"/>
      <c r="R145" s="809"/>
      <c r="S145" s="816"/>
      <c r="T145" s="817"/>
      <c r="U145" s="817"/>
      <c r="V145" s="33" t="s">
        <v>111</v>
      </c>
      <c r="W145" s="818"/>
      <c r="X145" s="819"/>
      <c r="Y145" s="173" t="s">
        <v>112</v>
      </c>
      <c r="Z145" s="174"/>
      <c r="AA145" s="33" t="s">
        <v>113</v>
      </c>
      <c r="AK145" s="312" t="str">
        <f>IF(OR(OR(I145="",N145=""),AND(B145&lt;&gt;"")),"","未入力があります")</f>
        <v/>
      </c>
    </row>
    <row r="146" spans="1:40" ht="24.75" customHeight="1">
      <c r="A146" s="112" t="str">
        <f t="shared" ref="A146:A148" si="2">IF(OR(AND(I146="",N146=""),AND(B146&lt;&gt;"")),"","未入力")</f>
        <v/>
      </c>
      <c r="B146" s="172"/>
      <c r="C146" s="799"/>
      <c r="D146" s="800"/>
      <c r="E146" s="771"/>
      <c r="F146" s="854"/>
      <c r="G146" s="854"/>
      <c r="H146" s="855"/>
      <c r="I146" s="809"/>
      <c r="J146" s="809"/>
      <c r="K146" s="809"/>
      <c r="L146" s="809"/>
      <c r="M146" s="809"/>
      <c r="N146" s="809"/>
      <c r="O146" s="809"/>
      <c r="P146" s="809"/>
      <c r="Q146" s="809"/>
      <c r="R146" s="809"/>
      <c r="S146" s="816"/>
      <c r="T146" s="817"/>
      <c r="U146" s="817"/>
      <c r="V146" s="33" t="s">
        <v>111</v>
      </c>
      <c r="W146" s="818"/>
      <c r="X146" s="819"/>
      <c r="Y146" s="173" t="s">
        <v>112</v>
      </c>
      <c r="Z146" s="174"/>
      <c r="AA146" s="33" t="s">
        <v>113</v>
      </c>
      <c r="AD146" s="326" t="s">
        <v>61</v>
      </c>
    </row>
    <row r="147" spans="1:40" ht="24.75" customHeight="1">
      <c r="A147" s="130" t="str">
        <f t="shared" si="2"/>
        <v/>
      </c>
      <c r="B147" s="172"/>
      <c r="C147" s="799"/>
      <c r="D147" s="800"/>
      <c r="E147" s="771"/>
      <c r="F147" s="854"/>
      <c r="G147" s="854"/>
      <c r="H147" s="855"/>
      <c r="I147" s="809"/>
      <c r="J147" s="809"/>
      <c r="K147" s="809"/>
      <c r="L147" s="809"/>
      <c r="M147" s="809"/>
      <c r="N147" s="809"/>
      <c r="O147" s="809"/>
      <c r="P147" s="809"/>
      <c r="Q147" s="809"/>
      <c r="R147" s="809"/>
      <c r="S147" s="816"/>
      <c r="T147" s="817"/>
      <c r="U147" s="817"/>
      <c r="V147" s="33" t="s">
        <v>111</v>
      </c>
      <c r="W147" s="818"/>
      <c r="X147" s="819"/>
      <c r="Y147" s="173" t="s">
        <v>112</v>
      </c>
      <c r="Z147" s="174"/>
      <c r="AA147" s="33" t="s">
        <v>113</v>
      </c>
      <c r="AD147" s="326" t="s">
        <v>62</v>
      </c>
      <c r="AF147" s="302" t="s">
        <v>492</v>
      </c>
    </row>
    <row r="148" spans="1:40" ht="24.75" customHeight="1">
      <c r="A148" s="112" t="str">
        <f t="shared" si="2"/>
        <v/>
      </c>
      <c r="B148" s="172"/>
      <c r="C148" s="799"/>
      <c r="D148" s="800"/>
      <c r="E148" s="771"/>
      <c r="F148" s="854"/>
      <c r="G148" s="854"/>
      <c r="H148" s="855"/>
      <c r="I148" s="809"/>
      <c r="J148" s="809"/>
      <c r="K148" s="809"/>
      <c r="L148" s="809"/>
      <c r="M148" s="809"/>
      <c r="N148" s="809"/>
      <c r="O148" s="809"/>
      <c r="P148" s="809"/>
      <c r="Q148" s="809"/>
      <c r="R148" s="809"/>
      <c r="S148" s="816"/>
      <c r="T148" s="817"/>
      <c r="U148" s="817"/>
      <c r="V148" s="33" t="s">
        <v>111</v>
      </c>
      <c r="W148" s="818"/>
      <c r="X148" s="819"/>
      <c r="Y148" s="173" t="s">
        <v>112</v>
      </c>
      <c r="Z148" s="174"/>
      <c r="AA148" s="33" t="s">
        <v>113</v>
      </c>
    </row>
    <row r="149" spans="1:40" ht="7.5" customHeight="1"/>
    <row r="150" spans="1:40" ht="16.5" customHeight="1">
      <c r="B150" s="526" t="s">
        <v>104</v>
      </c>
      <c r="C150" s="7" t="s">
        <v>893</v>
      </c>
    </row>
    <row r="151" spans="1:40" ht="2.15" customHeight="1">
      <c r="D151" s="138"/>
      <c r="E151" s="138"/>
      <c r="F151" s="138"/>
      <c r="G151" s="138"/>
      <c r="H151" s="138"/>
      <c r="I151" s="138"/>
    </row>
    <row r="152" spans="1:40" ht="27.75" customHeight="1">
      <c r="B152" s="689" t="s">
        <v>395</v>
      </c>
      <c r="C152" s="820"/>
      <c r="D152" s="678"/>
      <c r="E152" s="679"/>
      <c r="F152" s="679"/>
      <c r="G152" s="679"/>
      <c r="H152" s="679"/>
      <c r="I152" s="680"/>
      <c r="J152" s="689" t="s">
        <v>116</v>
      </c>
      <c r="K152" s="717"/>
      <c r="L152" s="690"/>
      <c r="M152" s="810" t="s">
        <v>572</v>
      </c>
      <c r="N152" s="811"/>
      <c r="O152" s="811"/>
      <c r="P152" s="811"/>
      <c r="Q152" s="811"/>
      <c r="R152" s="811"/>
      <c r="S152" s="811"/>
      <c r="T152" s="811"/>
      <c r="U152" s="811"/>
      <c r="V152" s="811"/>
      <c r="W152" s="811"/>
      <c r="X152" s="811"/>
      <c r="Y152" s="811"/>
      <c r="Z152" s="811"/>
      <c r="AA152" s="812"/>
    </row>
    <row r="153" spans="1:40" ht="15.65" customHeight="1">
      <c r="A153" s="3"/>
      <c r="B153" s="721"/>
      <c r="C153" s="821"/>
      <c r="D153" s="681"/>
      <c r="E153" s="682"/>
      <c r="F153" s="682"/>
      <c r="G153" s="682"/>
      <c r="H153" s="682"/>
      <c r="I153" s="683"/>
      <c r="J153" s="693"/>
      <c r="K153" s="718"/>
      <c r="L153" s="692"/>
      <c r="M153" s="325"/>
      <c r="N153" s="131" t="s">
        <v>114</v>
      </c>
      <c r="O153" s="131"/>
      <c r="P153" s="131"/>
      <c r="Q153" s="131"/>
      <c r="R153" s="131"/>
      <c r="S153" s="131"/>
      <c r="T153" s="131"/>
      <c r="U153" s="131"/>
      <c r="V153" s="333"/>
      <c r="W153" s="176"/>
      <c r="X153" s="131"/>
      <c r="Y153" s="131"/>
      <c r="Z153" s="131"/>
      <c r="AA153" s="132"/>
      <c r="AE153" s="326"/>
      <c r="AF153" s="40" t="s">
        <v>409</v>
      </c>
      <c r="AG153" s="326" t="s">
        <v>536</v>
      </c>
      <c r="AH153" s="40"/>
    </row>
    <row r="154" spans="1:40" s="3" customFormat="1" ht="19.5" customHeight="1">
      <c r="B154" s="721"/>
      <c r="C154" s="821"/>
      <c r="D154" s="681"/>
      <c r="E154" s="682"/>
      <c r="F154" s="682"/>
      <c r="G154" s="682"/>
      <c r="H154" s="682"/>
      <c r="I154" s="683"/>
      <c r="J154" s="693"/>
      <c r="K154" s="718"/>
      <c r="L154" s="692"/>
      <c r="M154" s="325"/>
      <c r="N154" s="49" t="s">
        <v>115</v>
      </c>
      <c r="O154" s="49"/>
      <c r="P154" s="993" t="s">
        <v>544</v>
      </c>
      <c r="Q154" s="994"/>
      <c r="R154" s="994"/>
      <c r="S154" s="994"/>
      <c r="T154" s="994"/>
      <c r="U154" s="994"/>
      <c r="V154" s="994"/>
      <c r="W154" s="994"/>
      <c r="X154" s="994"/>
      <c r="Y154" s="994"/>
      <c r="Z154" s="994"/>
      <c r="AA154" s="995"/>
      <c r="AC154" s="40"/>
      <c r="AD154" s="40"/>
      <c r="AE154" s="326"/>
      <c r="AF154" s="40" t="s">
        <v>409</v>
      </c>
      <c r="AG154" s="326" t="s">
        <v>537</v>
      </c>
      <c r="AH154" s="302"/>
      <c r="AI154" s="313"/>
      <c r="AJ154" s="313"/>
      <c r="AK154" s="304"/>
      <c r="AL154" s="304"/>
      <c r="AM154" s="304"/>
      <c r="AN154" s="40"/>
    </row>
    <row r="155" spans="1:40" ht="18" customHeight="1">
      <c r="A155" s="3"/>
      <c r="B155" s="721"/>
      <c r="C155" s="821"/>
      <c r="D155" s="681"/>
      <c r="E155" s="682"/>
      <c r="F155" s="682"/>
      <c r="G155" s="682"/>
      <c r="H155" s="682"/>
      <c r="I155" s="683"/>
      <c r="J155" s="693"/>
      <c r="K155" s="718"/>
      <c r="L155" s="692"/>
      <c r="M155" s="136" t="s">
        <v>396</v>
      </c>
      <c r="N155" s="327"/>
      <c r="O155" s="3" t="s">
        <v>142</v>
      </c>
      <c r="P155" s="3"/>
      <c r="V155" s="326"/>
      <c r="W155" s="326"/>
      <c r="X155" s="326"/>
      <c r="Y155" s="53"/>
      <c r="AA155" s="13"/>
      <c r="AB155" s="53"/>
      <c r="AC155" s="63"/>
      <c r="AE155" s="326"/>
      <c r="AF155" s="40" t="s">
        <v>409</v>
      </c>
      <c r="AG155" s="326" t="s">
        <v>538</v>
      </c>
      <c r="AH155" s="303"/>
      <c r="AI155" s="304"/>
      <c r="AM155" s="311"/>
      <c r="AN155" s="1"/>
    </row>
    <row r="156" spans="1:40" s="3" customFormat="1" ht="18" customHeight="1">
      <c r="B156" s="721"/>
      <c r="C156" s="821"/>
      <c r="D156" s="681"/>
      <c r="E156" s="682"/>
      <c r="F156" s="682"/>
      <c r="G156" s="682"/>
      <c r="H156" s="682"/>
      <c r="I156" s="683"/>
      <c r="J156" s="693"/>
      <c r="K156" s="718"/>
      <c r="L156" s="692"/>
      <c r="M156" s="136" t="s">
        <v>397</v>
      </c>
      <c r="N156" s="327"/>
      <c r="O156" s="3" t="s">
        <v>143</v>
      </c>
      <c r="S156" s="1"/>
      <c r="V156" s="64"/>
      <c r="W156" s="1"/>
      <c r="AA156" s="36"/>
      <c r="AB156" s="40"/>
      <c r="AC156" s="63"/>
      <c r="AD156" s="326"/>
      <c r="AE156" s="326"/>
      <c r="AF156" s="40" t="s">
        <v>409</v>
      </c>
      <c r="AG156" s="326" t="s">
        <v>539</v>
      </c>
      <c r="AH156" s="313"/>
      <c r="AI156" s="313"/>
      <c r="AJ156" s="304"/>
      <c r="AK156" s="304"/>
      <c r="AL156" s="304"/>
      <c r="AM156" s="313"/>
    </row>
    <row r="157" spans="1:40" s="3" customFormat="1" ht="15" customHeight="1">
      <c r="A157" s="1"/>
      <c r="B157" s="721"/>
      <c r="C157" s="821"/>
      <c r="D157" s="681"/>
      <c r="E157" s="682"/>
      <c r="F157" s="682"/>
      <c r="G157" s="682"/>
      <c r="H157" s="682"/>
      <c r="I157" s="683"/>
      <c r="J157" s="693"/>
      <c r="K157" s="718"/>
      <c r="L157" s="692"/>
      <c r="M157" s="35"/>
      <c r="N157" s="2"/>
      <c r="O157" s="3" t="s">
        <v>431</v>
      </c>
      <c r="T157" s="1"/>
      <c r="X157" s="813" t="s">
        <v>433</v>
      </c>
      <c r="Y157" s="814"/>
      <c r="Z157" s="814"/>
      <c r="AA157" s="815"/>
      <c r="AC157" s="40"/>
      <c r="AD157" s="326"/>
      <c r="AE157" s="302"/>
      <c r="AF157" s="302"/>
      <c r="AG157" s="302"/>
      <c r="AH157" s="302"/>
      <c r="AI157" s="313"/>
      <c r="AJ157" s="313"/>
      <c r="AK157" s="304"/>
      <c r="AL157" s="304"/>
      <c r="AM157" s="304"/>
      <c r="AN157" s="40"/>
    </row>
    <row r="158" spans="1:40" s="3" customFormat="1" ht="15" customHeight="1">
      <c r="A158" s="1"/>
      <c r="B158" s="721"/>
      <c r="C158" s="821"/>
      <c r="D158" s="681"/>
      <c r="E158" s="682"/>
      <c r="F158" s="682"/>
      <c r="G158" s="682"/>
      <c r="H158" s="682"/>
      <c r="I158" s="683"/>
      <c r="J158" s="693"/>
      <c r="K158" s="718"/>
      <c r="L158" s="692"/>
      <c r="M158" s="133"/>
      <c r="N158" s="134"/>
      <c r="O158" s="134" t="s">
        <v>432</v>
      </c>
      <c r="P158" s="134"/>
      <c r="Q158" s="134"/>
      <c r="R158" s="134"/>
      <c r="S158" s="134"/>
      <c r="T158" s="135"/>
      <c r="U158" s="134"/>
      <c r="V158" s="134"/>
      <c r="W158" s="134"/>
      <c r="X158" s="868" t="str">
        <f>IF(M154="○",IF(AND(N155="○",N156="○"),"都外設置ok","都外設置NG"),"")</f>
        <v/>
      </c>
      <c r="Y158" s="869"/>
      <c r="Z158" s="869"/>
      <c r="AA158" s="870"/>
      <c r="AC158" s="40"/>
      <c r="AD158" s="326"/>
      <c r="AE158" s="302"/>
      <c r="AF158" s="302"/>
      <c r="AG158" s="302"/>
      <c r="AH158" s="302"/>
      <c r="AI158" s="313"/>
      <c r="AJ158" s="313"/>
      <c r="AK158" s="304"/>
      <c r="AL158" s="304"/>
      <c r="AM158" s="304"/>
      <c r="AN158" s="40"/>
    </row>
    <row r="159" spans="1:40" s="3" customFormat="1" ht="4.5" customHeight="1">
      <c r="A159" s="1"/>
      <c r="B159" s="721"/>
      <c r="C159" s="821"/>
      <c r="D159" s="681"/>
      <c r="E159" s="682"/>
      <c r="F159" s="682"/>
      <c r="G159" s="682"/>
      <c r="H159" s="682"/>
      <c r="I159" s="683"/>
      <c r="J159" s="756"/>
      <c r="K159" s="757"/>
      <c r="L159" s="758"/>
      <c r="M159" s="89"/>
      <c r="N159" s="90"/>
      <c r="O159" s="19"/>
      <c r="P159" s="90"/>
      <c r="Q159" s="90"/>
      <c r="R159" s="90"/>
      <c r="S159" s="90"/>
      <c r="T159" s="90"/>
      <c r="U159" s="90"/>
      <c r="V159" s="90"/>
      <c r="W159" s="90"/>
      <c r="X159" s="90"/>
      <c r="Y159" s="90"/>
      <c r="Z159" s="90"/>
      <c r="AA159" s="91"/>
      <c r="AC159" s="40"/>
      <c r="AD159" s="326"/>
      <c r="AE159" s="302"/>
      <c r="AF159" s="302"/>
      <c r="AG159" s="302"/>
      <c r="AH159" s="302"/>
      <c r="AI159" s="313"/>
      <c r="AJ159" s="313"/>
      <c r="AK159" s="304"/>
      <c r="AL159" s="304"/>
      <c r="AM159" s="304"/>
      <c r="AN159" s="40"/>
    </row>
    <row r="160" spans="1:40" ht="16.5" customHeight="1">
      <c r="B160" s="689" t="s">
        <v>439</v>
      </c>
      <c r="C160" s="848"/>
      <c r="D160" s="848"/>
      <c r="E160" s="848"/>
      <c r="F160" s="848"/>
      <c r="G160" s="848"/>
      <c r="H160" s="848"/>
      <c r="I160" s="820"/>
      <c r="J160" s="11" t="s">
        <v>41</v>
      </c>
      <c r="K160" s="991"/>
      <c r="L160" s="992"/>
      <c r="M160" s="992"/>
      <c r="N160" s="992"/>
      <c r="O160" s="992"/>
      <c r="P160" s="22"/>
      <c r="Q160" s="22"/>
      <c r="R160" s="22"/>
      <c r="S160" s="22"/>
      <c r="T160" s="22"/>
      <c r="U160" s="22"/>
      <c r="V160" s="22"/>
      <c r="W160" s="22"/>
      <c r="X160" s="22"/>
      <c r="Y160" s="22"/>
      <c r="Z160" s="22"/>
      <c r="AA160" s="12"/>
    </row>
    <row r="161" spans="1:40" ht="24" customHeight="1">
      <c r="B161" s="849"/>
      <c r="C161" s="850"/>
      <c r="D161" s="851"/>
      <c r="E161" s="851"/>
      <c r="F161" s="851"/>
      <c r="G161" s="851"/>
      <c r="H161" s="851"/>
      <c r="I161" s="821"/>
      <c r="J161" s="988"/>
      <c r="K161" s="983"/>
      <c r="L161" s="983"/>
      <c r="M161" s="989"/>
      <c r="N161" s="989"/>
      <c r="O161" s="989"/>
      <c r="P161" s="989"/>
      <c r="Q161" s="989"/>
      <c r="R161" s="989"/>
      <c r="S161" s="989"/>
      <c r="T161" s="989"/>
      <c r="U161" s="989"/>
      <c r="V161" s="989"/>
      <c r="W161" s="989"/>
      <c r="X161" s="989"/>
      <c r="Y161" s="989"/>
      <c r="Z161" s="989"/>
      <c r="AA161" s="990"/>
    </row>
    <row r="162" spans="1:40" ht="18" customHeight="1">
      <c r="B162" s="689" t="s">
        <v>117</v>
      </c>
      <c r="C162" s="848"/>
      <c r="D162" s="827"/>
      <c r="E162" s="826"/>
      <c r="F162" s="826"/>
      <c r="G162" s="826"/>
      <c r="H162" s="826"/>
      <c r="I162" s="114" t="s">
        <v>118</v>
      </c>
      <c r="J162" s="826"/>
      <c r="K162" s="826"/>
      <c r="L162" s="826"/>
      <c r="M162" s="114" t="s">
        <v>119</v>
      </c>
      <c r="N162" s="826"/>
      <c r="O162" s="826"/>
      <c r="P162" s="826"/>
      <c r="Q162" s="826"/>
      <c r="R162" s="826"/>
      <c r="S162" s="114" t="s">
        <v>120</v>
      </c>
      <c r="T162" s="114"/>
      <c r="U162" s="114" t="s">
        <v>121</v>
      </c>
      <c r="V162" s="114"/>
      <c r="W162" s="114" t="s">
        <v>122</v>
      </c>
      <c r="X162" s="826"/>
      <c r="Y162" s="982"/>
      <c r="Z162" s="982"/>
      <c r="AA162" s="115" t="s">
        <v>123</v>
      </c>
    </row>
    <row r="163" spans="1:40" ht="18" customHeight="1">
      <c r="B163" s="691"/>
      <c r="C163" s="851"/>
      <c r="D163" s="830"/>
      <c r="E163" s="831"/>
      <c r="F163" s="831"/>
      <c r="G163" s="831"/>
      <c r="H163" s="831"/>
      <c r="I163" s="116" t="s">
        <v>124</v>
      </c>
      <c r="J163" s="831"/>
      <c r="K163" s="831"/>
      <c r="L163" s="831"/>
      <c r="M163" s="116" t="s">
        <v>125</v>
      </c>
      <c r="N163" s="831"/>
      <c r="O163" s="831"/>
      <c r="P163" s="831"/>
      <c r="Q163" s="831"/>
      <c r="R163" s="831"/>
      <c r="S163" s="4" t="s">
        <v>126</v>
      </c>
      <c r="T163" s="116"/>
      <c r="U163" s="116" t="s">
        <v>121</v>
      </c>
      <c r="V163" s="116"/>
      <c r="W163" s="116" t="s">
        <v>122</v>
      </c>
      <c r="X163" s="831"/>
      <c r="Y163" s="983"/>
      <c r="Z163" s="983"/>
      <c r="AA163" s="117" t="s">
        <v>123</v>
      </c>
      <c r="AD163" s="326" t="s">
        <v>383</v>
      </c>
    </row>
    <row r="164" spans="1:40" ht="18" customHeight="1">
      <c r="A164" s="3"/>
      <c r="B164" s="849"/>
      <c r="C164" s="850"/>
      <c r="D164" s="824" t="s">
        <v>248</v>
      </c>
      <c r="E164" s="825"/>
      <c r="F164" s="825"/>
      <c r="G164" s="825"/>
      <c r="H164" s="825"/>
      <c r="I164" s="828"/>
      <c r="J164" s="828"/>
      <c r="K164" s="828"/>
      <c r="L164" s="828"/>
      <c r="M164" s="828"/>
      <c r="N164" s="828"/>
      <c r="O164" s="828"/>
      <c r="P164" s="828"/>
      <c r="Q164" s="828"/>
      <c r="R164" s="828"/>
      <c r="S164" s="828"/>
      <c r="T164" s="828"/>
      <c r="U164" s="828"/>
      <c r="V164" s="828"/>
      <c r="W164" s="828"/>
      <c r="X164" s="828"/>
      <c r="Y164" s="828"/>
      <c r="Z164" s="828"/>
      <c r="AA164" s="829"/>
      <c r="AD164" s="326" t="s">
        <v>384</v>
      </c>
    </row>
    <row r="165" spans="1:40" ht="9" customHeight="1">
      <c r="A165" s="3"/>
      <c r="B165" s="689" t="s">
        <v>543</v>
      </c>
      <c r="C165" s="841"/>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12"/>
      <c r="AD165" s="326" t="s">
        <v>385</v>
      </c>
    </row>
    <row r="166" spans="1:40" ht="18.75" customHeight="1">
      <c r="A166" s="3"/>
      <c r="B166" s="691"/>
      <c r="C166" s="842"/>
      <c r="D166" s="554"/>
      <c r="E166" s="545" t="s">
        <v>127</v>
      </c>
      <c r="F166" s="545"/>
      <c r="G166" s="545"/>
      <c r="H166" s="548" t="s">
        <v>128</v>
      </c>
      <c r="I166" s="548"/>
      <c r="J166" s="548"/>
      <c r="K166" s="822"/>
      <c r="L166" s="823"/>
      <c r="M166" s="548" t="s">
        <v>4</v>
      </c>
      <c r="N166" s="549"/>
      <c r="O166" s="548" t="s">
        <v>131</v>
      </c>
      <c r="P166" s="548"/>
      <c r="Q166" s="548"/>
      <c r="R166" s="548"/>
      <c r="S166" s="548"/>
      <c r="T166" s="548"/>
      <c r="U166" s="548"/>
      <c r="V166" s="548"/>
      <c r="W166" s="548"/>
      <c r="X166" s="548"/>
      <c r="Y166" s="545"/>
      <c r="Z166" s="545"/>
      <c r="AA166" s="13"/>
      <c r="AD166" s="326" t="s">
        <v>386</v>
      </c>
      <c r="AF166" s="40" t="s">
        <v>409</v>
      </c>
      <c r="AG166" s="326" t="s">
        <v>540</v>
      </c>
      <c r="AH166" s="313"/>
      <c r="AI166" s="313"/>
    </row>
    <row r="167" spans="1:40" s="3" customFormat="1" ht="17.25" customHeight="1">
      <c r="B167" s="691"/>
      <c r="C167" s="842"/>
      <c r="D167" s="550"/>
      <c r="E167" s="545"/>
      <c r="F167" s="551"/>
      <c r="G167" s="545"/>
      <c r="H167" s="548" t="s">
        <v>130</v>
      </c>
      <c r="I167" s="548"/>
      <c r="J167" s="548"/>
      <c r="K167" s="822"/>
      <c r="L167" s="823"/>
      <c r="M167" s="548" t="s">
        <v>4</v>
      </c>
      <c r="N167" s="549"/>
      <c r="O167" s="548" t="s">
        <v>131</v>
      </c>
      <c r="P167" s="548"/>
      <c r="Q167" s="548" t="s">
        <v>132</v>
      </c>
      <c r="R167" s="548"/>
      <c r="S167" s="548"/>
      <c r="T167" s="548"/>
      <c r="U167" s="548"/>
      <c r="V167" s="548"/>
      <c r="W167" s="548"/>
      <c r="X167" s="548"/>
      <c r="Y167" s="545"/>
      <c r="Z167" s="545"/>
      <c r="AA167" s="13"/>
      <c r="AC167" s="40"/>
      <c r="AD167" s="326" t="s">
        <v>387</v>
      </c>
      <c r="AE167" s="302"/>
      <c r="AF167" s="302" t="s">
        <v>507</v>
      </c>
      <c r="AG167" s="302"/>
      <c r="AH167" s="302"/>
      <c r="AI167" s="313"/>
      <c r="AJ167" s="313"/>
      <c r="AK167" s="304"/>
      <c r="AL167" s="304"/>
      <c r="AM167" s="304"/>
      <c r="AN167" s="40"/>
    </row>
    <row r="168" spans="1:40" s="3" customFormat="1" ht="9" customHeight="1">
      <c r="A168" s="1"/>
      <c r="B168" s="691"/>
      <c r="C168" s="842"/>
      <c r="D168" s="550"/>
      <c r="E168" s="545"/>
      <c r="F168" s="545"/>
      <c r="G168" s="545"/>
      <c r="H168" s="545"/>
      <c r="I168" s="545"/>
      <c r="J168" s="545"/>
      <c r="K168" s="545"/>
      <c r="L168" s="545"/>
      <c r="M168" s="545"/>
      <c r="N168" s="545"/>
      <c r="O168" s="545"/>
      <c r="P168" s="545"/>
      <c r="Q168" s="545"/>
      <c r="R168" s="545"/>
      <c r="S168" s="545"/>
      <c r="T168" s="545"/>
      <c r="U168" s="545"/>
      <c r="V168" s="545"/>
      <c r="W168" s="545"/>
      <c r="X168" s="545"/>
      <c r="Y168" s="545"/>
      <c r="Z168" s="545"/>
      <c r="AA168" s="13"/>
      <c r="AC168" s="40"/>
      <c r="AD168" s="326" t="s">
        <v>388</v>
      </c>
      <c r="AE168" s="302"/>
      <c r="AF168" s="302"/>
      <c r="AG168" s="302"/>
      <c r="AH168" s="302"/>
      <c r="AI168" s="313"/>
      <c r="AJ168" s="313"/>
      <c r="AK168" s="304"/>
      <c r="AL168" s="304"/>
      <c r="AM168" s="304"/>
      <c r="AN168" s="40"/>
    </row>
    <row r="169" spans="1:40" s="3" customFormat="1" ht="18" customHeight="1">
      <c r="A169" s="1"/>
      <c r="B169" s="691"/>
      <c r="C169" s="842"/>
      <c r="D169" s="554"/>
      <c r="E169" s="545" t="s">
        <v>133</v>
      </c>
      <c r="F169" s="545"/>
      <c r="G169" s="545"/>
      <c r="H169" s="548" t="s">
        <v>136</v>
      </c>
      <c r="I169" s="552"/>
      <c r="J169" s="552"/>
      <c r="K169" s="986"/>
      <c r="L169" s="987"/>
      <c r="M169" s="987"/>
      <c r="N169" s="987"/>
      <c r="O169" s="987"/>
      <c r="P169" s="987"/>
      <c r="Q169" s="987"/>
      <c r="R169" s="987"/>
      <c r="S169" s="987"/>
      <c r="T169" s="987"/>
      <c r="U169" s="987"/>
      <c r="V169" s="987"/>
      <c r="W169" s="987"/>
      <c r="X169" s="987"/>
      <c r="Y169" s="987"/>
      <c r="Z169" s="987"/>
      <c r="AA169" s="36" t="s">
        <v>129</v>
      </c>
      <c r="AC169" s="40"/>
      <c r="AD169" s="326" t="s">
        <v>430</v>
      </c>
      <c r="AE169" s="302"/>
      <c r="AF169" s="40" t="s">
        <v>409</v>
      </c>
      <c r="AG169" s="326" t="s">
        <v>541</v>
      </c>
      <c r="AH169" s="313"/>
      <c r="AI169" s="313"/>
      <c r="AJ169" s="313"/>
      <c r="AK169" s="304"/>
      <c r="AL169" s="304"/>
      <c r="AM169" s="304"/>
      <c r="AN169" s="40"/>
    </row>
    <row r="170" spans="1:40" s="3" customFormat="1" ht="21.75" customHeight="1">
      <c r="A170" s="1"/>
      <c r="B170" s="691"/>
      <c r="C170" s="842"/>
      <c r="D170" s="545"/>
      <c r="E170" s="545"/>
      <c r="F170" s="551"/>
      <c r="G170" s="550"/>
      <c r="H170" s="548" t="s">
        <v>134</v>
      </c>
      <c r="I170" s="548"/>
      <c r="J170" s="548"/>
      <c r="K170" s="822"/>
      <c r="L170" s="823"/>
      <c r="M170" s="548" t="s">
        <v>4</v>
      </c>
      <c r="N170" s="549"/>
      <c r="O170" s="548" t="s">
        <v>113</v>
      </c>
      <c r="P170" s="548" t="s">
        <v>135</v>
      </c>
      <c r="Q170" s="548"/>
      <c r="R170" s="984"/>
      <c r="S170" s="985"/>
      <c r="T170" s="548" t="s">
        <v>4</v>
      </c>
      <c r="U170" s="549"/>
      <c r="V170" s="548" t="s">
        <v>113</v>
      </c>
      <c r="W170" s="548" t="s">
        <v>129</v>
      </c>
      <c r="X170" s="545"/>
      <c r="Y170" s="545"/>
      <c r="Z170" s="545"/>
      <c r="AA170" s="13"/>
      <c r="AC170" s="40"/>
      <c r="AD170" s="326" t="s">
        <v>389</v>
      </c>
      <c r="AE170" s="302"/>
      <c r="AF170" s="302" t="s">
        <v>508</v>
      </c>
      <c r="AG170" s="302"/>
      <c r="AH170" s="302"/>
      <c r="AI170" s="313"/>
      <c r="AJ170" s="313"/>
      <c r="AK170" s="304"/>
      <c r="AL170" s="304"/>
      <c r="AM170" s="304"/>
      <c r="AN170" s="40"/>
    </row>
    <row r="171" spans="1:40" ht="21.75" customHeight="1">
      <c r="B171" s="691"/>
      <c r="C171" s="842"/>
      <c r="D171" s="545"/>
      <c r="E171" s="545"/>
      <c r="F171" s="545"/>
      <c r="G171" s="550"/>
      <c r="H171" s="548" t="s">
        <v>398</v>
      </c>
      <c r="I171" s="545"/>
      <c r="J171" s="545"/>
      <c r="K171" s="545"/>
      <c r="L171" s="545"/>
      <c r="M171" s="822"/>
      <c r="N171" s="823"/>
      <c r="O171" s="548" t="s">
        <v>4</v>
      </c>
      <c r="P171" s="549"/>
      <c r="Q171" s="548" t="s">
        <v>131</v>
      </c>
      <c r="R171" s="548" t="s">
        <v>137</v>
      </c>
      <c r="S171" s="545"/>
      <c r="T171" s="545"/>
      <c r="U171" s="545"/>
      <c r="V171" s="545"/>
      <c r="W171" s="545"/>
      <c r="X171" s="545"/>
      <c r="Y171" s="545"/>
      <c r="Z171" s="553"/>
      <c r="AA171" s="71"/>
    </row>
    <row r="172" spans="1:40" ht="15" customHeight="1">
      <c r="B172" s="691"/>
      <c r="C172" s="842"/>
      <c r="D172" s="545"/>
      <c r="E172" s="545"/>
      <c r="F172" s="545"/>
      <c r="G172" s="545"/>
      <c r="H172" s="845" t="s">
        <v>603</v>
      </c>
      <c r="I172" s="846"/>
      <c r="J172" s="846"/>
      <c r="K172" s="847"/>
      <c r="L172" s="847"/>
      <c r="M172" s="847"/>
      <c r="N172" s="847"/>
      <c r="O172" s="847"/>
      <c r="P172" s="847"/>
      <c r="Q172" s="847"/>
      <c r="R172" s="847"/>
      <c r="S172" s="847"/>
      <c r="T172" s="847"/>
      <c r="U172" s="847"/>
      <c r="V172" s="847"/>
      <c r="W172" s="847"/>
      <c r="X172" s="847"/>
      <c r="Y172" s="847"/>
      <c r="Z172" s="847"/>
      <c r="AA172" s="546" t="s">
        <v>604</v>
      </c>
    </row>
    <row r="173" spans="1:40" ht="47.5" customHeight="1">
      <c r="B173" s="843"/>
      <c r="C173" s="844"/>
      <c r="D173" s="838" t="s">
        <v>1065</v>
      </c>
      <c r="E173" s="839"/>
      <c r="F173" s="839"/>
      <c r="G173" s="839"/>
      <c r="H173" s="839"/>
      <c r="I173" s="839"/>
      <c r="J173" s="839"/>
      <c r="K173" s="839"/>
      <c r="L173" s="839"/>
      <c r="M173" s="839"/>
      <c r="N173" s="839"/>
      <c r="O173" s="839"/>
      <c r="P173" s="839"/>
      <c r="Q173" s="839"/>
      <c r="R173" s="839"/>
      <c r="S173" s="839"/>
      <c r="T173" s="839"/>
      <c r="U173" s="839"/>
      <c r="V173" s="839"/>
      <c r="W173" s="839"/>
      <c r="X173" s="839"/>
      <c r="Y173" s="839"/>
      <c r="Z173" s="839"/>
      <c r="AA173" s="840"/>
    </row>
    <row r="174" spans="1:40" ht="15.65" customHeight="1">
      <c r="B174" s="547" t="s">
        <v>141</v>
      </c>
      <c r="C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row>
    <row r="175" spans="1:40" ht="15.4" customHeight="1">
      <c r="B175" s="34" t="s">
        <v>698</v>
      </c>
      <c r="C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row>
    <row r="176" spans="1:40" ht="4.9000000000000004" hidden="1" customHeight="1">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row>
    <row r="177" spans="1:40" ht="4.9000000000000004" hidden="1" customHeight="1">
      <c r="B177" s="34"/>
      <c r="C177" s="3"/>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row>
    <row r="178" spans="1:40" ht="7" customHeight="1">
      <c r="AI178" s="311"/>
      <c r="AJ178" s="311"/>
    </row>
    <row r="179" spans="1:40" ht="22.9" customHeight="1">
      <c r="B179" s="526" t="s">
        <v>413</v>
      </c>
      <c r="C179" s="7" t="s">
        <v>444</v>
      </c>
      <c r="D179" s="137"/>
      <c r="E179" s="138"/>
      <c r="F179" s="138"/>
      <c r="G179" s="138"/>
      <c r="H179" s="138"/>
      <c r="I179" s="137"/>
      <c r="J179" s="138"/>
      <c r="K179" s="138"/>
      <c r="L179" s="138"/>
      <c r="M179" s="138"/>
      <c r="N179" s="138"/>
      <c r="O179" s="138"/>
      <c r="P179" s="138"/>
      <c r="Q179" s="138"/>
      <c r="R179" s="138"/>
      <c r="S179" s="138"/>
      <c r="T179" s="138"/>
      <c r="U179" s="138"/>
      <c r="V179" s="138"/>
      <c r="W179" s="138"/>
      <c r="X179" s="138"/>
      <c r="Y179" s="139"/>
      <c r="Z179" s="140"/>
      <c r="AA179" s="37"/>
      <c r="AC179" s="153"/>
    </row>
    <row r="180" spans="1:40" ht="13.5" customHeight="1">
      <c r="B180" s="8"/>
      <c r="C180" s="137" t="s">
        <v>594</v>
      </c>
      <c r="I180" s="34"/>
      <c r="Y180" s="47"/>
      <c r="Z180" s="37"/>
      <c r="AA180" s="37"/>
      <c r="AC180" s="365"/>
      <c r="AF180" s="303"/>
      <c r="AG180" s="304"/>
      <c r="AH180" s="304"/>
      <c r="AM180" s="311"/>
      <c r="AN180" s="1"/>
    </row>
    <row r="181" spans="1:40" ht="23.25" customHeight="1">
      <c r="B181" s="178"/>
      <c r="C181" s="119" t="s">
        <v>396</v>
      </c>
      <c r="D181" s="835" t="s">
        <v>890</v>
      </c>
      <c r="E181" s="836"/>
      <c r="F181" s="836"/>
      <c r="G181" s="836"/>
      <c r="H181" s="836"/>
      <c r="I181" s="836"/>
      <c r="J181" s="836"/>
      <c r="K181" s="836"/>
      <c r="L181" s="836"/>
      <c r="M181" s="836"/>
      <c r="N181" s="836"/>
      <c r="O181" s="836"/>
      <c r="P181" s="836"/>
      <c r="Q181" s="836"/>
      <c r="R181" s="836"/>
      <c r="S181" s="836"/>
      <c r="T181" s="836"/>
      <c r="U181" s="836"/>
      <c r="V181" s="836"/>
      <c r="W181" s="836"/>
      <c r="X181" s="836"/>
      <c r="Y181" s="836"/>
      <c r="Z181" s="836"/>
      <c r="AA181" s="837"/>
      <c r="AB181" s="53"/>
      <c r="AC181" s="153"/>
    </row>
    <row r="182" spans="1:40" ht="23.65" customHeight="1">
      <c r="B182" s="178"/>
      <c r="C182" s="39" t="s">
        <v>397</v>
      </c>
      <c r="D182" s="832" t="s">
        <v>1078</v>
      </c>
      <c r="E182" s="833"/>
      <c r="F182" s="833"/>
      <c r="G182" s="833"/>
      <c r="H182" s="833"/>
      <c r="I182" s="833"/>
      <c r="J182" s="833"/>
      <c r="K182" s="833"/>
      <c r="L182" s="833"/>
      <c r="M182" s="833"/>
      <c r="N182" s="833"/>
      <c r="O182" s="833"/>
      <c r="P182" s="833"/>
      <c r="Q182" s="833"/>
      <c r="R182" s="833"/>
      <c r="S182" s="833"/>
      <c r="T182" s="833"/>
      <c r="U182" s="833"/>
      <c r="V182" s="833"/>
      <c r="W182" s="833"/>
      <c r="X182" s="833"/>
      <c r="Y182" s="833"/>
      <c r="Z182" s="833"/>
      <c r="AA182" s="833"/>
      <c r="AB182" s="53"/>
      <c r="AC182" s="153"/>
    </row>
    <row r="183" spans="1:40" ht="23.25" customHeight="1">
      <c r="B183" s="178"/>
      <c r="C183" s="119" t="s">
        <v>894</v>
      </c>
      <c r="D183" s="832" t="s">
        <v>1079</v>
      </c>
      <c r="E183" s="833"/>
      <c r="F183" s="833"/>
      <c r="G183" s="833"/>
      <c r="H183" s="833"/>
      <c r="I183" s="833"/>
      <c r="J183" s="833"/>
      <c r="K183" s="833"/>
      <c r="L183" s="833"/>
      <c r="M183" s="833"/>
      <c r="N183" s="833"/>
      <c r="O183" s="833"/>
      <c r="P183" s="833"/>
      <c r="Q183" s="833"/>
      <c r="R183" s="833"/>
      <c r="S183" s="833"/>
      <c r="T183" s="833"/>
      <c r="U183" s="833"/>
      <c r="V183" s="833"/>
      <c r="W183" s="833"/>
      <c r="X183" s="833"/>
      <c r="Y183" s="833"/>
      <c r="Z183" s="833"/>
      <c r="AA183" s="834"/>
      <c r="AB183" s="53"/>
      <c r="AC183" s="153"/>
    </row>
    <row r="184" spans="1:40" s="524" customFormat="1" ht="23.25" customHeight="1">
      <c r="B184" s="178"/>
      <c r="C184" s="119" t="s">
        <v>1023</v>
      </c>
      <c r="D184" s="832" t="s">
        <v>1143</v>
      </c>
      <c r="E184" s="833"/>
      <c r="F184" s="833"/>
      <c r="G184" s="833"/>
      <c r="H184" s="833"/>
      <c r="I184" s="833"/>
      <c r="J184" s="833"/>
      <c r="K184" s="833"/>
      <c r="L184" s="833"/>
      <c r="M184" s="833"/>
      <c r="N184" s="833"/>
      <c r="O184" s="833"/>
      <c r="P184" s="833"/>
      <c r="Q184" s="833"/>
      <c r="R184" s="833"/>
      <c r="S184" s="833"/>
      <c r="T184" s="833"/>
      <c r="U184" s="833"/>
      <c r="V184" s="833"/>
      <c r="W184" s="833"/>
      <c r="X184" s="833"/>
      <c r="Y184" s="833"/>
      <c r="Z184" s="833"/>
      <c r="AA184" s="834"/>
      <c r="AB184" s="53"/>
      <c r="AC184" s="153"/>
      <c r="AD184" s="326"/>
      <c r="AE184" s="302"/>
      <c r="AF184" s="302"/>
      <c r="AG184" s="302"/>
      <c r="AH184" s="302"/>
      <c r="AI184" s="303"/>
      <c r="AJ184" s="304"/>
      <c r="AK184" s="304"/>
      <c r="AL184" s="304"/>
      <c r="AM184" s="304"/>
      <c r="AN184" s="53"/>
    </row>
    <row r="185" spans="1:40" ht="18" customHeight="1">
      <c r="B185" s="178"/>
      <c r="C185" s="120" t="s">
        <v>1041</v>
      </c>
      <c r="D185" s="18"/>
      <c r="E185" s="18"/>
      <c r="F185" s="18"/>
      <c r="G185" s="18"/>
      <c r="H185" s="50"/>
      <c r="I185" s="18"/>
      <c r="J185" s="18"/>
      <c r="K185" s="18"/>
      <c r="L185" s="18"/>
      <c r="M185" s="17"/>
      <c r="N185" s="806" t="str">
        <f>IF(OR(B181="○",B182="○",B183="○",B184="○"),(IF(AND(B185="○"),"(資料提出 ok)","資料の提出が必要です：申請書と一緒に提出ください「○」印必須")),"")</f>
        <v/>
      </c>
      <c r="O185" s="807"/>
      <c r="P185" s="807"/>
      <c r="Q185" s="807"/>
      <c r="R185" s="807"/>
      <c r="S185" s="807"/>
      <c r="T185" s="807"/>
      <c r="U185" s="807"/>
      <c r="V185" s="807"/>
      <c r="W185" s="807"/>
      <c r="X185" s="807"/>
      <c r="Y185" s="807"/>
      <c r="Z185" s="807"/>
      <c r="AA185" s="808"/>
      <c r="AB185" s="53"/>
      <c r="AC185" s="153"/>
    </row>
    <row r="186" spans="1:40" ht="3" customHeight="1">
      <c r="A186" s="34"/>
      <c r="AC186" s="153"/>
    </row>
    <row r="187" spans="1:40" s="34" customFormat="1" ht="3"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C187" s="54"/>
      <c r="AD187" s="326"/>
      <c r="AE187" s="302"/>
      <c r="AF187" s="302"/>
      <c r="AG187" s="302"/>
      <c r="AH187" s="302"/>
      <c r="AI187" s="304"/>
      <c r="AJ187" s="304"/>
      <c r="AK187" s="304"/>
      <c r="AL187" s="304"/>
      <c r="AM187" s="304"/>
      <c r="AN187" s="54"/>
    </row>
    <row r="188" spans="1:40" s="34" customFormat="1" ht="22.1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C188" s="54"/>
      <c r="AD188" s="326"/>
      <c r="AE188" s="302"/>
      <c r="AF188" s="302"/>
      <c r="AG188" s="302"/>
      <c r="AH188" s="302"/>
      <c r="AI188" s="304"/>
      <c r="AJ188" s="304"/>
      <c r="AK188" s="304"/>
      <c r="AL188" s="304"/>
      <c r="AM188" s="304"/>
      <c r="AN188" s="54"/>
    </row>
    <row r="189" spans="1:40" s="34" customFormat="1" ht="55.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C189" s="54"/>
      <c r="AD189" s="326"/>
      <c r="AE189" s="302"/>
      <c r="AF189" s="302"/>
      <c r="AG189" s="302"/>
      <c r="AH189" s="302"/>
      <c r="AI189" s="304"/>
      <c r="AJ189" s="304"/>
      <c r="AK189" s="304"/>
      <c r="AL189" s="304"/>
      <c r="AM189" s="304"/>
      <c r="AN189" s="54"/>
    </row>
    <row r="190" spans="1:40" ht="23.25" customHeight="1"/>
    <row r="191" spans="1:40" s="301" customFormat="1" ht="20.25" customHeight="1">
      <c r="B191" s="301" t="s">
        <v>530</v>
      </c>
      <c r="AE191" s="314"/>
      <c r="AF191" s="314"/>
      <c r="AG191" s="314"/>
      <c r="AH191" s="314"/>
      <c r="AI191" s="315"/>
      <c r="AJ191" s="314"/>
      <c r="AK191" s="314"/>
      <c r="AL191" s="314"/>
      <c r="AM191" s="314"/>
    </row>
    <row r="192" spans="1:40" s="316" customFormat="1" ht="20.25" customHeight="1">
      <c r="C192" s="316" t="s">
        <v>531</v>
      </c>
      <c r="AE192" s="317"/>
      <c r="AF192" s="317"/>
      <c r="AG192" s="317"/>
      <c r="AH192" s="317"/>
      <c r="AI192" s="318"/>
      <c r="AJ192" s="317"/>
      <c r="AK192" s="317"/>
      <c r="AL192" s="317"/>
      <c r="AM192" s="317"/>
    </row>
    <row r="193" spans="2:44" s="301" customFormat="1" ht="20.25" customHeight="1" thickBot="1">
      <c r="AE193" s="314"/>
      <c r="AF193" s="314"/>
      <c r="AG193" s="314"/>
      <c r="AH193" s="314"/>
      <c r="AI193" s="315"/>
      <c r="AJ193" s="314"/>
      <c r="AK193" s="314"/>
      <c r="AL193" s="314"/>
      <c r="AM193" s="314"/>
    </row>
    <row r="194" spans="2:44" ht="17" thickBot="1">
      <c r="B194" s="79" t="e">
        <f>VLOOKUP(I62,B195:C305,2,FALSE)</f>
        <v>#N/A</v>
      </c>
      <c r="C194" s="80"/>
      <c r="D194" s="81" t="e">
        <f>IF(AND(B194="製造業・その他",X61&lt;=20),"小規模企業者","×")</f>
        <v>#N/A</v>
      </c>
      <c r="E194" s="81" t="e">
        <f>IF(AND(B194="商業・サービス業",X61&lt;=5),"小規模企業者","×")</f>
        <v>#N/A</v>
      </c>
      <c r="K194" s="69" t="s">
        <v>391</v>
      </c>
      <c r="AC194" s="111" t="e">
        <f>VLOOKUP(I62,AD195:AE305,2,FALSE)</f>
        <v>#N/A</v>
      </c>
    </row>
    <row r="195" spans="2:44" ht="13.5" thickBot="1">
      <c r="B195" s="77">
        <v>38</v>
      </c>
      <c r="C195" s="78" t="s">
        <v>405</v>
      </c>
      <c r="D195" s="54"/>
      <c r="E195" s="54"/>
      <c r="L195" s="68"/>
      <c r="U195" s="467" t="s">
        <v>908</v>
      </c>
      <c r="V195" s="4"/>
      <c r="W195" s="4"/>
      <c r="AC195" s="346" t="s">
        <v>271</v>
      </c>
      <c r="AD195" s="452" t="s">
        <v>406</v>
      </c>
      <c r="AE195" s="486" t="s">
        <v>981</v>
      </c>
      <c r="AF195" s="487"/>
      <c r="AG195" s="487"/>
      <c r="AH195" s="326"/>
      <c r="AI195" s="57"/>
      <c r="AK195" s="442" t="b">
        <v>0</v>
      </c>
      <c r="AL195" s="442" t="b">
        <v>0</v>
      </c>
      <c r="AM195" s="54"/>
      <c r="AO195" s="53"/>
      <c r="AP195" s="53"/>
      <c r="AQ195" s="53"/>
      <c r="AR195" s="53"/>
    </row>
    <row r="196" spans="2:44" ht="13.5" thickBot="1">
      <c r="B196" s="72">
        <v>39</v>
      </c>
      <c r="C196" s="73" t="s">
        <v>405</v>
      </c>
      <c r="D196" s="54"/>
      <c r="E196" s="54"/>
      <c r="K196" s="67" t="s">
        <v>270</v>
      </c>
      <c r="L196" s="68" t="s">
        <v>271</v>
      </c>
      <c r="U196" s="467" t="s">
        <v>259</v>
      </c>
      <c r="V196" s="4"/>
      <c r="W196" s="4"/>
      <c r="AC196" s="346" t="s">
        <v>273</v>
      </c>
      <c r="AD196" s="453" t="s">
        <v>422</v>
      </c>
      <c r="AE196" s="486" t="s">
        <v>981</v>
      </c>
      <c r="AF196" s="487"/>
      <c r="AG196" s="487"/>
      <c r="AH196" s="326"/>
      <c r="AI196" s="57"/>
      <c r="AK196" s="334" t="s">
        <v>529</v>
      </c>
      <c r="AL196" s="335"/>
      <c r="AM196" s="335"/>
      <c r="AN196" s="300"/>
      <c r="AO196" s="300"/>
      <c r="AP196" s="300"/>
      <c r="AQ196" s="336"/>
      <c r="AR196" s="53"/>
    </row>
    <row r="197" spans="2:44">
      <c r="B197" s="74">
        <v>411</v>
      </c>
      <c r="C197" s="73" t="s">
        <v>405</v>
      </c>
      <c r="D197" s="54"/>
      <c r="E197" s="54"/>
      <c r="K197" s="67" t="s">
        <v>272</v>
      </c>
      <c r="L197" s="68" t="s">
        <v>273</v>
      </c>
      <c r="U197" s="467" t="s">
        <v>900</v>
      </c>
      <c r="V197" s="4"/>
      <c r="W197" s="4"/>
      <c r="AC197" s="346" t="s">
        <v>274</v>
      </c>
      <c r="AD197" s="453" t="s">
        <v>380</v>
      </c>
      <c r="AE197" s="486" t="s">
        <v>259</v>
      </c>
      <c r="AF197" s="487"/>
      <c r="AG197" s="487"/>
      <c r="AH197" s="326"/>
      <c r="AI197" s="57"/>
    </row>
    <row r="198" spans="2:44">
      <c r="B198" s="74">
        <v>412</v>
      </c>
      <c r="C198" s="73" t="s">
        <v>405</v>
      </c>
      <c r="D198" s="54"/>
      <c r="E198" s="54"/>
      <c r="K198" s="67" t="s">
        <v>380</v>
      </c>
      <c r="L198" s="68" t="s">
        <v>274</v>
      </c>
      <c r="U198" s="467" t="s">
        <v>260</v>
      </c>
      <c r="V198" s="4"/>
      <c r="W198" s="4"/>
      <c r="AC198" s="346" t="s">
        <v>276</v>
      </c>
      <c r="AD198" s="453" t="s">
        <v>423</v>
      </c>
      <c r="AE198" s="486" t="s">
        <v>259</v>
      </c>
      <c r="AF198" s="487"/>
      <c r="AG198" s="487"/>
      <c r="AH198" s="326"/>
      <c r="AI198" s="57"/>
    </row>
    <row r="199" spans="2:44">
      <c r="B199" s="74">
        <v>415</v>
      </c>
      <c r="C199" s="73" t="s">
        <v>405</v>
      </c>
      <c r="D199" s="54"/>
      <c r="E199" s="54"/>
      <c r="K199" s="67" t="s">
        <v>275</v>
      </c>
      <c r="L199" s="68" t="s">
        <v>276</v>
      </c>
      <c r="U199" s="467" t="s">
        <v>261</v>
      </c>
      <c r="V199" s="4"/>
      <c r="W199" s="4"/>
      <c r="AC199" s="346" t="s">
        <v>899</v>
      </c>
      <c r="AD199" s="453" t="s">
        <v>424</v>
      </c>
      <c r="AE199" s="486" t="s">
        <v>982</v>
      </c>
      <c r="AF199" s="487"/>
      <c r="AG199" s="487"/>
      <c r="AH199" s="326"/>
      <c r="AI199" s="57"/>
    </row>
    <row r="200" spans="2:44">
      <c r="B200" s="75">
        <v>416</v>
      </c>
      <c r="C200" s="73" t="s">
        <v>405</v>
      </c>
      <c r="D200" s="54"/>
      <c r="E200" s="54"/>
      <c r="K200" s="67" t="s">
        <v>277</v>
      </c>
      <c r="L200" s="68" t="s">
        <v>899</v>
      </c>
      <c r="U200" s="467" t="s">
        <v>262</v>
      </c>
      <c r="V200" s="4"/>
      <c r="W200" s="4"/>
      <c r="AC200" s="346" t="s">
        <v>279</v>
      </c>
      <c r="AD200" s="453" t="s">
        <v>425</v>
      </c>
      <c r="AE200" s="486" t="s">
        <v>260</v>
      </c>
      <c r="AF200" s="487"/>
      <c r="AG200" s="487"/>
      <c r="AH200" s="326"/>
      <c r="AI200" s="57"/>
    </row>
    <row r="201" spans="2:44">
      <c r="B201" s="76">
        <v>50</v>
      </c>
      <c r="C201" s="73" t="s">
        <v>405</v>
      </c>
      <c r="D201" s="54"/>
      <c r="E201" s="54"/>
      <c r="K201" s="67" t="s">
        <v>278</v>
      </c>
      <c r="L201" s="68" t="s">
        <v>279</v>
      </c>
      <c r="U201" s="467" t="s">
        <v>263</v>
      </c>
      <c r="V201" s="4"/>
      <c r="W201" s="4"/>
      <c r="AC201" s="346" t="s">
        <v>919</v>
      </c>
      <c r="AD201" s="453" t="s">
        <v>426</v>
      </c>
      <c r="AE201" s="486" t="s">
        <v>260</v>
      </c>
      <c r="AF201" s="487"/>
      <c r="AG201" s="487"/>
      <c r="AH201" s="326"/>
      <c r="AI201" s="57"/>
    </row>
    <row r="202" spans="2:44">
      <c r="B202" s="76">
        <v>51</v>
      </c>
      <c r="C202" s="73" t="s">
        <v>405</v>
      </c>
      <c r="D202" s="54"/>
      <c r="E202" s="54"/>
      <c r="K202" s="67" t="s">
        <v>280</v>
      </c>
      <c r="L202" s="68" t="s">
        <v>919</v>
      </c>
      <c r="U202" s="467" t="s">
        <v>909</v>
      </c>
      <c r="V202" s="4"/>
      <c r="W202" s="4"/>
      <c r="AC202" s="346" t="s">
        <v>282</v>
      </c>
      <c r="AD202" s="453" t="s">
        <v>427</v>
      </c>
      <c r="AE202" s="486" t="s">
        <v>260</v>
      </c>
      <c r="AF202" s="487"/>
      <c r="AG202" s="487"/>
      <c r="AH202" s="326"/>
      <c r="AI202" s="57"/>
    </row>
    <row r="203" spans="2:44">
      <c r="B203" s="76">
        <v>52</v>
      </c>
      <c r="C203" s="73" t="s">
        <v>405</v>
      </c>
      <c r="D203" s="54"/>
      <c r="E203" s="54"/>
      <c r="K203" s="67" t="s">
        <v>281</v>
      </c>
      <c r="L203" s="68" t="s">
        <v>282</v>
      </c>
      <c r="U203" s="467" t="s">
        <v>910</v>
      </c>
      <c r="V203" s="4"/>
      <c r="W203" s="4"/>
      <c r="AC203" s="346" t="s">
        <v>284</v>
      </c>
      <c r="AD203" s="453" t="s">
        <v>428</v>
      </c>
      <c r="AE203" s="486" t="s">
        <v>261</v>
      </c>
      <c r="AF203" s="487"/>
      <c r="AG203" s="487"/>
      <c r="AH203" s="326"/>
      <c r="AI203" s="57"/>
    </row>
    <row r="204" spans="2:44">
      <c r="B204" s="76">
        <v>53</v>
      </c>
      <c r="C204" s="73" t="s">
        <v>405</v>
      </c>
      <c r="D204" s="54"/>
      <c r="E204" s="54"/>
      <c r="K204" s="67" t="s">
        <v>283</v>
      </c>
      <c r="L204" s="68" t="s">
        <v>284</v>
      </c>
      <c r="U204" s="467" t="s">
        <v>911</v>
      </c>
      <c r="V204" s="4"/>
      <c r="W204" s="4"/>
      <c r="AC204" s="346" t="s">
        <v>285</v>
      </c>
      <c r="AD204" s="453">
        <v>10</v>
      </c>
      <c r="AE204" s="486" t="s">
        <v>261</v>
      </c>
      <c r="AF204" s="487"/>
      <c r="AG204" s="487"/>
      <c r="AH204" s="326"/>
      <c r="AI204" s="57"/>
    </row>
    <row r="205" spans="2:44">
      <c r="B205" s="76">
        <v>54</v>
      </c>
      <c r="C205" s="73" t="s">
        <v>405</v>
      </c>
      <c r="D205" s="54"/>
      <c r="E205" s="54"/>
      <c r="K205" s="67">
        <v>10</v>
      </c>
      <c r="L205" s="68" t="s">
        <v>285</v>
      </c>
      <c r="U205" s="467" t="s">
        <v>912</v>
      </c>
      <c r="V205" s="4"/>
      <c r="W205" s="4"/>
      <c r="AC205" s="346" t="s">
        <v>286</v>
      </c>
      <c r="AD205" s="453">
        <v>11</v>
      </c>
      <c r="AE205" s="486" t="s">
        <v>261</v>
      </c>
      <c r="AF205" s="487"/>
      <c r="AG205" s="487"/>
      <c r="AH205" s="326"/>
      <c r="AI205" s="57"/>
    </row>
    <row r="206" spans="2:44">
      <c r="B206" s="76">
        <v>55</v>
      </c>
      <c r="C206" s="73" t="s">
        <v>405</v>
      </c>
      <c r="D206" s="54"/>
      <c r="E206" s="54"/>
      <c r="K206" s="67">
        <v>11</v>
      </c>
      <c r="L206" s="68" t="s">
        <v>286</v>
      </c>
      <c r="U206" s="467" t="s">
        <v>913</v>
      </c>
      <c r="V206" s="4"/>
      <c r="W206" s="4"/>
      <c r="AC206" s="346" t="s">
        <v>287</v>
      </c>
      <c r="AD206" s="453">
        <v>12</v>
      </c>
      <c r="AE206" s="486" t="s">
        <v>261</v>
      </c>
      <c r="AF206" s="487"/>
      <c r="AG206" s="487"/>
      <c r="AH206" s="326"/>
      <c r="AI206" s="57"/>
    </row>
    <row r="207" spans="2:44">
      <c r="B207" s="76">
        <v>56</v>
      </c>
      <c r="C207" s="73" t="s">
        <v>405</v>
      </c>
      <c r="D207" s="54"/>
      <c r="E207" s="54"/>
      <c r="K207" s="67">
        <v>12</v>
      </c>
      <c r="L207" s="68" t="s">
        <v>287</v>
      </c>
      <c r="U207" s="467" t="s">
        <v>914</v>
      </c>
      <c r="V207" s="4"/>
      <c r="W207" s="4"/>
      <c r="AC207" s="346" t="s">
        <v>288</v>
      </c>
      <c r="AD207" s="453">
        <v>13</v>
      </c>
      <c r="AE207" s="486" t="s">
        <v>261</v>
      </c>
      <c r="AF207" s="487"/>
      <c r="AG207" s="487"/>
      <c r="AH207" s="326"/>
      <c r="AI207" s="57"/>
    </row>
    <row r="208" spans="2:44">
      <c r="B208" s="76">
        <v>57</v>
      </c>
      <c r="C208" s="73" t="s">
        <v>405</v>
      </c>
      <c r="D208" s="54"/>
      <c r="E208" s="54"/>
      <c r="K208" s="67">
        <v>13</v>
      </c>
      <c r="L208" s="68" t="s">
        <v>288</v>
      </c>
      <c r="U208" s="467" t="s">
        <v>915</v>
      </c>
      <c r="V208" s="4"/>
      <c r="W208" s="4"/>
      <c r="AC208" s="346" t="s">
        <v>289</v>
      </c>
      <c r="AD208" s="453">
        <v>14</v>
      </c>
      <c r="AE208" s="486" t="s">
        <v>261</v>
      </c>
      <c r="AF208" s="487"/>
      <c r="AG208" s="487"/>
      <c r="AH208" s="326"/>
      <c r="AI208" s="57"/>
    </row>
    <row r="209" spans="2:35">
      <c r="B209" s="76">
        <v>58</v>
      </c>
      <c r="C209" s="73" t="s">
        <v>405</v>
      </c>
      <c r="D209" s="54"/>
      <c r="E209" s="54"/>
      <c r="K209" s="67">
        <v>14</v>
      </c>
      <c r="L209" s="68" t="s">
        <v>289</v>
      </c>
      <c r="U209" s="467" t="s">
        <v>916</v>
      </c>
      <c r="V209" s="4"/>
      <c r="W209" s="4"/>
      <c r="AC209" s="346" t="s">
        <v>290</v>
      </c>
      <c r="AD209" s="453">
        <v>15</v>
      </c>
      <c r="AE209" s="486" t="s">
        <v>261</v>
      </c>
      <c r="AF209" s="487"/>
      <c r="AG209" s="487"/>
      <c r="AH209" s="326"/>
      <c r="AI209" s="57"/>
    </row>
    <row r="210" spans="2:35">
      <c r="B210" s="76">
        <v>59</v>
      </c>
      <c r="C210" s="73" t="s">
        <v>405</v>
      </c>
      <c r="D210" s="54"/>
      <c r="E210" s="54"/>
      <c r="K210" s="67">
        <v>15</v>
      </c>
      <c r="L210" s="68" t="s">
        <v>290</v>
      </c>
      <c r="U210" s="467" t="s">
        <v>917</v>
      </c>
      <c r="V210" s="4"/>
      <c r="W210" s="4"/>
      <c r="AC210" s="346" t="s">
        <v>291</v>
      </c>
      <c r="AD210" s="453">
        <v>16</v>
      </c>
      <c r="AE210" s="486" t="s">
        <v>261</v>
      </c>
      <c r="AF210" s="487"/>
      <c r="AG210" s="487"/>
      <c r="AH210" s="326"/>
      <c r="AI210" s="57"/>
    </row>
    <row r="211" spans="2:35">
      <c r="B211" s="76">
        <v>60</v>
      </c>
      <c r="C211" s="73" t="s">
        <v>405</v>
      </c>
      <c r="D211" s="54"/>
      <c r="E211" s="54"/>
      <c r="K211" s="67">
        <v>16</v>
      </c>
      <c r="L211" s="68" t="s">
        <v>291</v>
      </c>
      <c r="U211" s="467" t="s">
        <v>264</v>
      </c>
      <c r="V211" s="4"/>
      <c r="W211" s="4"/>
      <c r="AC211" s="346" t="s">
        <v>292</v>
      </c>
      <c r="AD211" s="453">
        <v>17</v>
      </c>
      <c r="AE211" s="486" t="s">
        <v>261</v>
      </c>
      <c r="AF211" s="487"/>
      <c r="AG211" s="487"/>
      <c r="AH211" s="326"/>
      <c r="AI211" s="57"/>
    </row>
    <row r="212" spans="2:35">
      <c r="B212" s="76">
        <v>61</v>
      </c>
      <c r="C212" s="73" t="s">
        <v>405</v>
      </c>
      <c r="D212" s="54"/>
      <c r="E212" s="54"/>
      <c r="K212" s="67">
        <v>17</v>
      </c>
      <c r="L212" s="68" t="s">
        <v>292</v>
      </c>
      <c r="U212" s="467" t="s">
        <v>265</v>
      </c>
      <c r="V212" s="4"/>
      <c r="W212" s="4"/>
      <c r="AC212" s="346" t="s">
        <v>293</v>
      </c>
      <c r="AD212" s="453">
        <v>18</v>
      </c>
      <c r="AE212" s="486" t="s">
        <v>261</v>
      </c>
      <c r="AF212" s="487"/>
      <c r="AG212" s="487"/>
      <c r="AH212" s="326"/>
      <c r="AI212" s="57"/>
    </row>
    <row r="213" spans="2:35">
      <c r="B213" s="75">
        <v>693</v>
      </c>
      <c r="C213" s="73" t="s">
        <v>405</v>
      </c>
      <c r="D213" s="54"/>
      <c r="E213" s="54"/>
      <c r="K213" s="67">
        <v>18</v>
      </c>
      <c r="L213" s="68" t="s">
        <v>293</v>
      </c>
      <c r="U213" s="467" t="s">
        <v>266</v>
      </c>
      <c r="V213" s="4"/>
      <c r="W213" s="4"/>
      <c r="AC213" s="346" t="s">
        <v>294</v>
      </c>
      <c r="AD213" s="453">
        <v>19</v>
      </c>
      <c r="AE213" s="486" t="s">
        <v>261</v>
      </c>
      <c r="AF213" s="487"/>
      <c r="AG213" s="487"/>
      <c r="AH213" s="326"/>
      <c r="AI213" s="57"/>
    </row>
    <row r="214" spans="2:35">
      <c r="B214" s="76">
        <v>70</v>
      </c>
      <c r="C214" s="73" t="s">
        <v>405</v>
      </c>
      <c r="D214" s="54"/>
      <c r="E214" s="54"/>
      <c r="K214" s="67">
        <v>19</v>
      </c>
      <c r="L214" s="68" t="s">
        <v>294</v>
      </c>
      <c r="U214" s="467" t="s">
        <v>267</v>
      </c>
      <c r="V214" s="4"/>
      <c r="W214" s="4"/>
      <c r="AC214" s="346" t="s">
        <v>295</v>
      </c>
      <c r="AD214" s="453">
        <v>20</v>
      </c>
      <c r="AE214" s="486" t="s">
        <v>261</v>
      </c>
      <c r="AF214" s="487"/>
      <c r="AG214" s="487"/>
      <c r="AH214" s="326"/>
      <c r="AI214" s="57"/>
    </row>
    <row r="215" spans="2:35">
      <c r="B215" s="76">
        <v>71</v>
      </c>
      <c r="C215" s="73" t="s">
        <v>405</v>
      </c>
      <c r="D215" s="54"/>
      <c r="E215" s="54"/>
      <c r="K215" s="67">
        <v>20</v>
      </c>
      <c r="L215" s="68" t="s">
        <v>295</v>
      </c>
      <c r="AC215" s="346" t="s">
        <v>296</v>
      </c>
      <c r="AD215" s="453">
        <v>21</v>
      </c>
      <c r="AE215" s="486" t="s">
        <v>261</v>
      </c>
      <c r="AF215" s="487"/>
      <c r="AG215" s="487"/>
      <c r="AH215" s="326"/>
      <c r="AI215" s="57"/>
    </row>
    <row r="216" spans="2:35">
      <c r="B216" s="76">
        <v>72</v>
      </c>
      <c r="C216" s="73" t="s">
        <v>405</v>
      </c>
      <c r="D216" s="54"/>
      <c r="E216" s="54"/>
      <c r="K216" s="67">
        <v>21</v>
      </c>
      <c r="L216" s="68" t="s">
        <v>296</v>
      </c>
      <c r="AC216" s="346" t="s">
        <v>297</v>
      </c>
      <c r="AD216" s="453">
        <v>22</v>
      </c>
      <c r="AE216" s="486" t="s">
        <v>261</v>
      </c>
      <c r="AF216" s="487"/>
      <c r="AG216" s="487"/>
      <c r="AH216" s="326"/>
      <c r="AI216" s="57"/>
    </row>
    <row r="217" spans="2:35">
      <c r="B217" s="76">
        <v>73</v>
      </c>
      <c r="C217" s="73" t="s">
        <v>405</v>
      </c>
      <c r="D217" s="54"/>
      <c r="E217" s="54"/>
      <c r="K217" s="67">
        <v>22</v>
      </c>
      <c r="L217" s="68" t="s">
        <v>297</v>
      </c>
      <c r="AC217" s="346" t="s">
        <v>298</v>
      </c>
      <c r="AD217" s="453">
        <v>23</v>
      </c>
      <c r="AE217" s="486" t="s">
        <v>261</v>
      </c>
      <c r="AF217" s="487"/>
      <c r="AG217" s="487"/>
      <c r="AH217" s="326"/>
      <c r="AI217" s="57"/>
    </row>
    <row r="218" spans="2:35">
      <c r="B218" s="76">
        <v>74</v>
      </c>
      <c r="C218" s="73" t="s">
        <v>405</v>
      </c>
      <c r="D218" s="54"/>
      <c r="E218" s="54"/>
      <c r="K218" s="67">
        <v>23</v>
      </c>
      <c r="L218" s="68" t="s">
        <v>298</v>
      </c>
      <c r="AC218" s="346" t="s">
        <v>299</v>
      </c>
      <c r="AD218" s="453">
        <v>24</v>
      </c>
      <c r="AE218" s="486" t="s">
        <v>261</v>
      </c>
      <c r="AF218" s="487"/>
      <c r="AG218" s="487"/>
      <c r="AH218" s="326"/>
      <c r="AI218" s="57"/>
    </row>
    <row r="219" spans="2:35">
      <c r="B219" s="76">
        <v>75</v>
      </c>
      <c r="C219" s="73" t="s">
        <v>405</v>
      </c>
      <c r="D219" s="54"/>
      <c r="E219" s="54"/>
      <c r="K219" s="67">
        <v>24</v>
      </c>
      <c r="L219" s="68" t="s">
        <v>299</v>
      </c>
      <c r="AC219" s="346" t="s">
        <v>300</v>
      </c>
      <c r="AD219" s="453">
        <v>25</v>
      </c>
      <c r="AE219" s="486" t="s">
        <v>261</v>
      </c>
      <c r="AF219" s="487"/>
      <c r="AG219" s="487"/>
      <c r="AH219" s="326"/>
      <c r="AI219" s="57"/>
    </row>
    <row r="220" spans="2:35">
      <c r="B220" s="76">
        <v>76</v>
      </c>
      <c r="C220" s="73" t="s">
        <v>405</v>
      </c>
      <c r="D220" s="54"/>
      <c r="E220" s="54"/>
      <c r="K220" s="67">
        <v>25</v>
      </c>
      <c r="L220" s="68" t="s">
        <v>300</v>
      </c>
      <c r="AC220" s="346" t="s">
        <v>301</v>
      </c>
      <c r="AD220" s="453">
        <v>26</v>
      </c>
      <c r="AE220" s="486" t="s">
        <v>261</v>
      </c>
      <c r="AF220" s="487"/>
      <c r="AG220" s="487"/>
      <c r="AH220" s="326"/>
      <c r="AI220" s="57"/>
    </row>
    <row r="221" spans="2:35">
      <c r="B221" s="76">
        <v>77</v>
      </c>
      <c r="C221" s="73" t="s">
        <v>405</v>
      </c>
      <c r="D221" s="54"/>
      <c r="E221" s="54"/>
      <c r="K221" s="67">
        <v>26</v>
      </c>
      <c r="L221" s="68" t="s">
        <v>301</v>
      </c>
      <c r="AC221" s="346" t="s">
        <v>302</v>
      </c>
      <c r="AD221" s="453">
        <v>27</v>
      </c>
      <c r="AE221" s="486" t="s">
        <v>261</v>
      </c>
      <c r="AF221" s="487"/>
      <c r="AG221" s="487"/>
      <c r="AH221" s="326"/>
      <c r="AI221" s="57"/>
    </row>
    <row r="222" spans="2:35">
      <c r="B222" s="76">
        <v>78</v>
      </c>
      <c r="C222" s="73" t="s">
        <v>405</v>
      </c>
      <c r="D222" s="54"/>
      <c r="E222" s="54"/>
      <c r="K222" s="67">
        <v>27</v>
      </c>
      <c r="L222" s="68" t="s">
        <v>302</v>
      </c>
      <c r="AC222" s="346" t="s">
        <v>429</v>
      </c>
      <c r="AD222" s="453">
        <v>28</v>
      </c>
      <c r="AE222" s="486" t="s">
        <v>261</v>
      </c>
      <c r="AF222" s="487"/>
      <c r="AG222" s="487"/>
      <c r="AH222" s="326"/>
      <c r="AI222" s="57"/>
    </row>
    <row r="223" spans="2:35">
      <c r="B223" s="76">
        <v>79</v>
      </c>
      <c r="C223" s="73" t="s">
        <v>405</v>
      </c>
      <c r="D223" s="54"/>
      <c r="E223" s="54"/>
      <c r="K223" s="67">
        <v>28</v>
      </c>
      <c r="L223" s="68" t="s">
        <v>303</v>
      </c>
      <c r="AC223" s="346" t="s">
        <v>304</v>
      </c>
      <c r="AD223" s="453">
        <v>29</v>
      </c>
      <c r="AE223" s="486" t="s">
        <v>261</v>
      </c>
      <c r="AF223" s="487"/>
      <c r="AG223" s="487"/>
      <c r="AH223" s="326"/>
      <c r="AI223" s="57"/>
    </row>
    <row r="224" spans="2:35">
      <c r="B224" s="76">
        <v>80</v>
      </c>
      <c r="C224" s="73" t="s">
        <v>405</v>
      </c>
      <c r="D224" s="54"/>
      <c r="E224" s="54"/>
      <c r="K224" s="67">
        <v>29</v>
      </c>
      <c r="L224" s="68" t="s">
        <v>304</v>
      </c>
      <c r="AC224" s="346" t="s">
        <v>305</v>
      </c>
      <c r="AD224" s="453">
        <v>30</v>
      </c>
      <c r="AE224" s="486" t="s">
        <v>261</v>
      </c>
      <c r="AF224" s="487"/>
      <c r="AG224" s="487"/>
      <c r="AH224" s="326"/>
      <c r="AI224" s="57"/>
    </row>
    <row r="225" spans="2:35">
      <c r="B225" s="76">
        <v>81</v>
      </c>
      <c r="C225" s="73" t="s">
        <v>405</v>
      </c>
      <c r="D225" s="54"/>
      <c r="E225" s="54"/>
      <c r="K225" s="67">
        <v>30</v>
      </c>
      <c r="L225" s="68" t="s">
        <v>305</v>
      </c>
      <c r="AC225" s="346" t="s">
        <v>306</v>
      </c>
      <c r="AD225" s="453">
        <v>31</v>
      </c>
      <c r="AE225" s="486" t="s">
        <v>261</v>
      </c>
      <c r="AF225" s="487"/>
      <c r="AG225" s="487"/>
      <c r="AH225" s="326"/>
      <c r="AI225" s="57"/>
    </row>
    <row r="226" spans="2:35">
      <c r="B226" s="76">
        <v>82</v>
      </c>
      <c r="C226" s="73" t="s">
        <v>405</v>
      </c>
      <c r="D226" s="54"/>
      <c r="E226" s="54"/>
      <c r="K226" s="67">
        <v>31</v>
      </c>
      <c r="L226" s="68" t="s">
        <v>306</v>
      </c>
      <c r="AC226" s="346" t="s">
        <v>307</v>
      </c>
      <c r="AD226" s="453">
        <v>32</v>
      </c>
      <c r="AE226" s="486" t="s">
        <v>261</v>
      </c>
      <c r="AF226" s="487"/>
      <c r="AG226" s="487"/>
      <c r="AH226" s="326"/>
      <c r="AI226" s="57"/>
    </row>
    <row r="227" spans="2:35">
      <c r="B227" s="76">
        <v>83</v>
      </c>
      <c r="C227" s="73" t="s">
        <v>405</v>
      </c>
      <c r="D227" s="54"/>
      <c r="E227" s="54"/>
      <c r="K227" s="67">
        <v>32</v>
      </c>
      <c r="L227" s="68" t="s">
        <v>307</v>
      </c>
      <c r="AC227" s="346" t="s">
        <v>308</v>
      </c>
      <c r="AD227" s="453">
        <v>33</v>
      </c>
      <c r="AE227" s="486" t="s">
        <v>262</v>
      </c>
      <c r="AF227" s="487"/>
      <c r="AG227" s="487"/>
      <c r="AH227" s="326"/>
      <c r="AI227" s="57"/>
    </row>
    <row r="228" spans="2:35">
      <c r="B228" s="76">
        <v>84</v>
      </c>
      <c r="C228" s="73" t="s">
        <v>405</v>
      </c>
      <c r="D228" s="54"/>
      <c r="E228" s="54"/>
      <c r="K228" s="67">
        <v>33</v>
      </c>
      <c r="L228" s="68" t="s">
        <v>308</v>
      </c>
      <c r="AC228" s="346" t="s">
        <v>309</v>
      </c>
      <c r="AD228" s="453">
        <v>34</v>
      </c>
      <c r="AE228" s="486" t="s">
        <v>262</v>
      </c>
      <c r="AF228" s="487"/>
      <c r="AG228" s="487"/>
      <c r="AH228" s="326"/>
      <c r="AI228" s="57"/>
    </row>
    <row r="229" spans="2:35">
      <c r="B229" s="76">
        <v>85</v>
      </c>
      <c r="C229" s="73" t="s">
        <v>405</v>
      </c>
      <c r="D229" s="54"/>
      <c r="E229" s="54"/>
      <c r="K229" s="67">
        <v>34</v>
      </c>
      <c r="L229" s="68" t="s">
        <v>309</v>
      </c>
      <c r="AC229" s="346" t="s">
        <v>310</v>
      </c>
      <c r="AD229" s="453">
        <v>35</v>
      </c>
      <c r="AE229" s="486" t="s">
        <v>262</v>
      </c>
      <c r="AF229" s="487"/>
      <c r="AG229" s="487"/>
      <c r="AH229" s="326"/>
      <c r="AI229" s="57"/>
    </row>
    <row r="230" spans="2:35">
      <c r="B230" s="76">
        <v>86</v>
      </c>
      <c r="C230" s="73" t="s">
        <v>405</v>
      </c>
      <c r="D230" s="54"/>
      <c r="E230" s="54"/>
      <c r="K230" s="67">
        <v>35</v>
      </c>
      <c r="L230" s="68" t="s">
        <v>310</v>
      </c>
      <c r="AC230" s="346" t="s">
        <v>311</v>
      </c>
      <c r="AD230" s="453">
        <v>36</v>
      </c>
      <c r="AE230" s="486" t="s">
        <v>262</v>
      </c>
      <c r="AF230" s="487"/>
      <c r="AG230" s="487"/>
      <c r="AH230" s="326"/>
      <c r="AI230" s="57"/>
    </row>
    <row r="231" spans="2:35">
      <c r="B231" s="76">
        <v>87</v>
      </c>
      <c r="C231" s="73" t="s">
        <v>405</v>
      </c>
      <c r="D231" s="54"/>
      <c r="E231" s="54"/>
      <c r="K231" s="67">
        <v>36</v>
      </c>
      <c r="L231" s="68" t="s">
        <v>311</v>
      </c>
      <c r="AC231" s="346" t="s">
        <v>312</v>
      </c>
      <c r="AD231" s="453">
        <v>37</v>
      </c>
      <c r="AE231" s="486" t="s">
        <v>263</v>
      </c>
      <c r="AF231" s="487"/>
      <c r="AG231" s="487"/>
      <c r="AH231" s="326"/>
      <c r="AI231" s="57"/>
    </row>
    <row r="232" spans="2:35">
      <c r="B232" s="76">
        <v>88</v>
      </c>
      <c r="C232" s="73" t="s">
        <v>405</v>
      </c>
      <c r="D232" s="54"/>
      <c r="E232" s="54"/>
      <c r="K232" s="67">
        <v>37</v>
      </c>
      <c r="L232" s="68" t="s">
        <v>312</v>
      </c>
      <c r="AC232" s="346" t="s">
        <v>313</v>
      </c>
      <c r="AD232" s="453">
        <v>38</v>
      </c>
      <c r="AE232" s="486" t="s">
        <v>263</v>
      </c>
      <c r="AF232" s="487"/>
      <c r="AG232" s="487"/>
      <c r="AH232" s="326"/>
      <c r="AI232" s="57"/>
    </row>
    <row r="233" spans="2:35">
      <c r="B233" s="76">
        <v>89</v>
      </c>
      <c r="C233" s="73" t="s">
        <v>405</v>
      </c>
      <c r="D233" s="54"/>
      <c r="E233" s="54"/>
      <c r="K233" s="67">
        <v>38</v>
      </c>
      <c r="L233" s="68" t="s">
        <v>313</v>
      </c>
      <c r="AC233" s="346" t="s">
        <v>314</v>
      </c>
      <c r="AD233" s="453">
        <v>39</v>
      </c>
      <c r="AE233" s="486" t="s">
        <v>263</v>
      </c>
      <c r="AF233" s="487"/>
      <c r="AG233" s="487"/>
      <c r="AH233" s="326"/>
      <c r="AI233" s="57"/>
    </row>
    <row r="234" spans="2:35">
      <c r="B234" s="76">
        <v>90</v>
      </c>
      <c r="C234" s="73" t="s">
        <v>405</v>
      </c>
      <c r="D234" s="54"/>
      <c r="E234" s="54"/>
      <c r="K234" s="67">
        <v>39</v>
      </c>
      <c r="L234" s="68" t="s">
        <v>314</v>
      </c>
      <c r="AC234" s="346" t="s">
        <v>315</v>
      </c>
      <c r="AD234" s="453">
        <v>40</v>
      </c>
      <c r="AE234" s="486" t="s">
        <v>263</v>
      </c>
      <c r="AF234" s="487"/>
      <c r="AG234" s="487"/>
      <c r="AH234" s="326"/>
      <c r="AI234" s="57"/>
    </row>
    <row r="235" spans="2:35">
      <c r="B235" s="76">
        <v>91</v>
      </c>
      <c r="C235" s="73" t="s">
        <v>405</v>
      </c>
      <c r="D235" s="54"/>
      <c r="E235" s="54"/>
      <c r="K235" s="67">
        <v>40</v>
      </c>
      <c r="L235" s="68" t="s">
        <v>315</v>
      </c>
      <c r="AC235" s="346" t="s">
        <v>316</v>
      </c>
      <c r="AD235" s="453">
        <v>41</v>
      </c>
      <c r="AE235" s="486" t="s">
        <v>263</v>
      </c>
      <c r="AF235" s="487"/>
      <c r="AG235" s="487"/>
      <c r="AH235" s="326"/>
      <c r="AI235" s="57"/>
    </row>
    <row r="236" spans="2:35">
      <c r="B236" s="76">
        <v>92</v>
      </c>
      <c r="C236" s="73" t="s">
        <v>405</v>
      </c>
      <c r="D236" s="54"/>
      <c r="E236" s="54"/>
      <c r="K236" s="67">
        <v>41</v>
      </c>
      <c r="L236" s="68" t="s">
        <v>316</v>
      </c>
      <c r="AC236" s="346" t="s">
        <v>902</v>
      </c>
      <c r="AD236" s="453">
        <v>410</v>
      </c>
      <c r="AE236" s="486" t="s">
        <v>263</v>
      </c>
      <c r="AF236" s="487"/>
      <c r="AG236" s="487"/>
      <c r="AH236" s="326"/>
      <c r="AI236" s="57"/>
    </row>
    <row r="237" spans="2:35">
      <c r="B237" s="76">
        <v>93</v>
      </c>
      <c r="C237" s="73" t="s">
        <v>405</v>
      </c>
      <c r="D237" s="54"/>
      <c r="E237" s="54"/>
      <c r="K237" s="70">
        <v>410</v>
      </c>
      <c r="L237" s="68" t="s">
        <v>902</v>
      </c>
      <c r="AC237" s="346" t="s">
        <v>317</v>
      </c>
      <c r="AD237" s="453">
        <v>411</v>
      </c>
      <c r="AE237" s="486" t="s">
        <v>263</v>
      </c>
      <c r="AF237" s="487"/>
      <c r="AG237" s="487"/>
      <c r="AH237" s="326"/>
      <c r="AI237" s="57"/>
    </row>
    <row r="238" spans="2:35">
      <c r="B238" s="76">
        <v>94</v>
      </c>
      <c r="C238" s="73" t="s">
        <v>405</v>
      </c>
      <c r="D238" s="54"/>
      <c r="E238" s="54"/>
      <c r="K238" s="70">
        <v>411</v>
      </c>
      <c r="L238" s="68" t="s">
        <v>317</v>
      </c>
      <c r="AC238" s="346" t="s">
        <v>318</v>
      </c>
      <c r="AD238" s="453">
        <v>412</v>
      </c>
      <c r="AE238" s="486" t="s">
        <v>263</v>
      </c>
      <c r="AF238" s="487"/>
      <c r="AG238" s="487"/>
      <c r="AH238" s="326"/>
      <c r="AI238" s="57"/>
    </row>
    <row r="239" spans="2:35">
      <c r="B239" s="76">
        <v>95</v>
      </c>
      <c r="C239" s="73" t="s">
        <v>405</v>
      </c>
      <c r="D239" s="54"/>
      <c r="E239" s="54"/>
      <c r="K239" s="70">
        <v>412</v>
      </c>
      <c r="L239" s="68" t="s">
        <v>318</v>
      </c>
      <c r="AC239" s="346" t="s">
        <v>319</v>
      </c>
      <c r="AD239" s="453">
        <v>413</v>
      </c>
      <c r="AE239" s="486" t="s">
        <v>263</v>
      </c>
      <c r="AF239" s="487"/>
      <c r="AG239" s="487"/>
      <c r="AH239" s="326"/>
      <c r="AI239" s="57"/>
    </row>
    <row r="240" spans="2:35">
      <c r="B240" s="76">
        <v>96</v>
      </c>
      <c r="C240" s="73" t="s">
        <v>405</v>
      </c>
      <c r="D240" s="54"/>
      <c r="E240" s="54"/>
      <c r="K240" s="70">
        <v>413</v>
      </c>
      <c r="L240" s="68" t="s">
        <v>319</v>
      </c>
      <c r="AC240" s="346" t="s">
        <v>320</v>
      </c>
      <c r="AD240" s="453">
        <v>414</v>
      </c>
      <c r="AE240" s="486" t="s">
        <v>263</v>
      </c>
      <c r="AF240" s="487"/>
      <c r="AG240" s="487"/>
      <c r="AH240" s="326"/>
      <c r="AI240" s="57"/>
    </row>
    <row r="241" spans="2:35">
      <c r="B241" s="72" t="s">
        <v>406</v>
      </c>
      <c r="C241" s="73" t="s">
        <v>407</v>
      </c>
      <c r="D241" s="54"/>
      <c r="E241" s="54"/>
      <c r="K241" s="70">
        <v>414</v>
      </c>
      <c r="L241" s="68" t="s">
        <v>320</v>
      </c>
      <c r="AC241" s="346" t="s">
        <v>321</v>
      </c>
      <c r="AD241" s="453">
        <v>415</v>
      </c>
      <c r="AE241" s="486" t="s">
        <v>263</v>
      </c>
      <c r="AF241" s="487"/>
      <c r="AG241" s="487"/>
      <c r="AH241" s="326"/>
      <c r="AI241" s="57"/>
    </row>
    <row r="242" spans="2:35">
      <c r="B242" s="72" t="s">
        <v>272</v>
      </c>
      <c r="C242" s="73" t="s">
        <v>407</v>
      </c>
      <c r="D242" s="54"/>
      <c r="E242" s="54"/>
      <c r="K242" s="70">
        <v>415</v>
      </c>
      <c r="L242" s="68" t="s">
        <v>321</v>
      </c>
      <c r="AC242" s="346" t="s">
        <v>322</v>
      </c>
      <c r="AD242" s="453">
        <v>416</v>
      </c>
      <c r="AE242" s="486" t="s">
        <v>263</v>
      </c>
      <c r="AF242" s="487"/>
      <c r="AG242" s="487"/>
      <c r="AH242" s="326"/>
      <c r="AI242" s="57"/>
    </row>
    <row r="243" spans="2:35">
      <c r="B243" s="72" t="s">
        <v>380</v>
      </c>
      <c r="C243" s="73" t="s">
        <v>407</v>
      </c>
      <c r="D243" s="54"/>
      <c r="E243" s="54"/>
      <c r="K243" s="65">
        <v>416</v>
      </c>
      <c r="L243" s="54" t="s">
        <v>322</v>
      </c>
      <c r="AC243" s="346" t="s">
        <v>323</v>
      </c>
      <c r="AD243" s="453">
        <v>42</v>
      </c>
      <c r="AE243" s="486" t="s">
        <v>983</v>
      </c>
      <c r="AF243" s="487"/>
      <c r="AG243" s="487"/>
      <c r="AH243" s="326"/>
      <c r="AI243" s="57"/>
    </row>
    <row r="244" spans="2:35">
      <c r="B244" s="72" t="s">
        <v>275</v>
      </c>
      <c r="C244" s="73" t="s">
        <v>407</v>
      </c>
      <c r="D244" s="54"/>
      <c r="E244" s="54"/>
      <c r="K244" s="57">
        <v>42</v>
      </c>
      <c r="L244" s="54" t="s">
        <v>323</v>
      </c>
      <c r="AC244" s="346" t="s">
        <v>324</v>
      </c>
      <c r="AD244" s="453">
        <v>43</v>
      </c>
      <c r="AE244" s="486" t="s">
        <v>983</v>
      </c>
      <c r="AF244" s="487"/>
      <c r="AG244" s="487"/>
      <c r="AH244" s="326"/>
      <c r="AI244" s="57"/>
    </row>
    <row r="245" spans="2:35">
      <c r="B245" s="72" t="s">
        <v>277</v>
      </c>
      <c r="C245" s="73" t="s">
        <v>407</v>
      </c>
      <c r="D245" s="54"/>
      <c r="E245" s="54"/>
      <c r="K245" s="57">
        <v>43</v>
      </c>
      <c r="L245" s="54" t="s">
        <v>324</v>
      </c>
      <c r="AC245" s="346" t="s">
        <v>325</v>
      </c>
      <c r="AD245" s="453">
        <v>44</v>
      </c>
      <c r="AE245" s="486" t="s">
        <v>983</v>
      </c>
      <c r="AF245" s="487"/>
      <c r="AG245" s="487"/>
      <c r="AH245" s="326"/>
      <c r="AI245" s="57"/>
    </row>
    <row r="246" spans="2:35">
      <c r="B246" s="72" t="s">
        <v>278</v>
      </c>
      <c r="C246" s="73" t="s">
        <v>407</v>
      </c>
      <c r="D246" s="54"/>
      <c r="E246" s="54"/>
      <c r="K246" s="57">
        <v>44</v>
      </c>
      <c r="L246" s="54" t="s">
        <v>325</v>
      </c>
      <c r="AC246" s="346" t="s">
        <v>326</v>
      </c>
      <c r="AD246" s="453">
        <v>45</v>
      </c>
      <c r="AE246" s="486" t="s">
        <v>983</v>
      </c>
      <c r="AF246" s="487"/>
      <c r="AG246" s="487"/>
      <c r="AH246" s="326"/>
      <c r="AI246" s="57"/>
    </row>
    <row r="247" spans="2:35">
      <c r="B247" s="72" t="s">
        <v>280</v>
      </c>
      <c r="C247" s="73" t="s">
        <v>407</v>
      </c>
      <c r="D247" s="54"/>
      <c r="E247" s="54"/>
      <c r="K247" s="57">
        <v>45</v>
      </c>
      <c r="L247" s="54" t="s">
        <v>326</v>
      </c>
      <c r="AC247" s="346" t="s">
        <v>327</v>
      </c>
      <c r="AD247" s="453">
        <v>46</v>
      </c>
      <c r="AE247" s="486" t="s">
        <v>983</v>
      </c>
      <c r="AF247" s="487"/>
      <c r="AG247" s="487"/>
      <c r="AH247" s="326"/>
      <c r="AI247" s="57"/>
    </row>
    <row r="248" spans="2:35">
      <c r="B248" s="72" t="s">
        <v>281</v>
      </c>
      <c r="C248" s="73" t="s">
        <v>407</v>
      </c>
      <c r="D248" s="54"/>
      <c r="E248" s="54"/>
      <c r="K248" s="57">
        <v>46</v>
      </c>
      <c r="L248" s="54" t="s">
        <v>327</v>
      </c>
      <c r="AC248" s="346" t="s">
        <v>328</v>
      </c>
      <c r="AD248" s="453">
        <v>47</v>
      </c>
      <c r="AE248" s="486" t="s">
        <v>983</v>
      </c>
      <c r="AF248" s="487"/>
      <c r="AG248" s="487"/>
      <c r="AH248" s="326"/>
      <c r="AI248" s="57"/>
    </row>
    <row r="249" spans="2:35">
      <c r="B249" s="72" t="s">
        <v>283</v>
      </c>
      <c r="C249" s="73" t="s">
        <v>407</v>
      </c>
      <c r="D249" s="54"/>
      <c r="E249" s="54"/>
      <c r="K249" s="57">
        <v>47</v>
      </c>
      <c r="L249" s="54" t="s">
        <v>328</v>
      </c>
      <c r="AC249" s="346" t="s">
        <v>329</v>
      </c>
      <c r="AD249" s="453">
        <v>48</v>
      </c>
      <c r="AE249" s="486" t="s">
        <v>983</v>
      </c>
      <c r="AF249" s="487"/>
      <c r="AG249" s="487"/>
      <c r="AH249" s="326"/>
      <c r="AI249" s="57"/>
    </row>
    <row r="250" spans="2:35">
      <c r="B250" s="72">
        <v>10</v>
      </c>
      <c r="C250" s="73" t="s">
        <v>407</v>
      </c>
      <c r="D250" s="54"/>
      <c r="E250" s="54"/>
      <c r="K250" s="57">
        <v>48</v>
      </c>
      <c r="L250" s="54" t="s">
        <v>329</v>
      </c>
      <c r="AC250" s="346" t="s">
        <v>330</v>
      </c>
      <c r="AD250" s="453">
        <v>49</v>
      </c>
      <c r="AE250" s="486" t="s">
        <v>983</v>
      </c>
      <c r="AF250" s="487"/>
      <c r="AG250" s="487"/>
      <c r="AH250" s="326"/>
      <c r="AI250" s="57"/>
    </row>
    <row r="251" spans="2:35">
      <c r="B251" s="72">
        <v>11</v>
      </c>
      <c r="C251" s="73" t="s">
        <v>407</v>
      </c>
      <c r="D251" s="54"/>
      <c r="E251" s="54"/>
      <c r="K251" s="57">
        <v>49</v>
      </c>
      <c r="L251" s="54" t="s">
        <v>330</v>
      </c>
      <c r="AC251" s="346" t="s">
        <v>331</v>
      </c>
      <c r="AD251" s="453">
        <v>50</v>
      </c>
      <c r="AE251" s="486" t="s">
        <v>984</v>
      </c>
      <c r="AF251" s="487"/>
      <c r="AG251" s="487"/>
      <c r="AH251" s="326"/>
      <c r="AI251" s="57"/>
    </row>
    <row r="252" spans="2:35">
      <c r="B252" s="72">
        <v>12</v>
      </c>
      <c r="C252" s="73" t="s">
        <v>407</v>
      </c>
      <c r="D252" s="54"/>
      <c r="E252" s="54"/>
      <c r="K252" s="57">
        <v>50</v>
      </c>
      <c r="L252" s="54" t="s">
        <v>331</v>
      </c>
      <c r="AC252" s="346" t="s">
        <v>332</v>
      </c>
      <c r="AD252" s="453">
        <v>51</v>
      </c>
      <c r="AE252" s="486" t="s">
        <v>984</v>
      </c>
      <c r="AF252" s="487"/>
      <c r="AG252" s="487"/>
      <c r="AH252" s="326"/>
      <c r="AI252" s="57"/>
    </row>
    <row r="253" spans="2:35">
      <c r="B253" s="72">
        <v>13</v>
      </c>
      <c r="C253" s="73" t="s">
        <v>407</v>
      </c>
      <c r="D253" s="54"/>
      <c r="E253" s="54"/>
      <c r="K253" s="57">
        <v>51</v>
      </c>
      <c r="L253" s="54" t="s">
        <v>332</v>
      </c>
      <c r="AC253" s="346" t="s">
        <v>333</v>
      </c>
      <c r="AD253" s="453">
        <v>52</v>
      </c>
      <c r="AE253" s="486" t="s">
        <v>984</v>
      </c>
      <c r="AF253" s="487"/>
      <c r="AG253" s="487"/>
      <c r="AH253" s="326"/>
      <c r="AI253" s="57"/>
    </row>
    <row r="254" spans="2:35">
      <c r="B254" s="72">
        <v>14</v>
      </c>
      <c r="C254" s="73" t="s">
        <v>407</v>
      </c>
      <c r="D254" s="54"/>
      <c r="E254" s="54"/>
      <c r="K254" s="57">
        <v>52</v>
      </c>
      <c r="L254" s="54" t="s">
        <v>333</v>
      </c>
      <c r="AC254" s="346" t="s">
        <v>901</v>
      </c>
      <c r="AD254" s="453">
        <v>53</v>
      </c>
      <c r="AE254" s="486" t="s">
        <v>984</v>
      </c>
      <c r="AF254" s="487"/>
      <c r="AG254" s="487"/>
      <c r="AH254" s="326"/>
      <c r="AI254" s="57"/>
    </row>
    <row r="255" spans="2:35">
      <c r="B255" s="72">
        <v>15</v>
      </c>
      <c r="C255" s="73" t="s">
        <v>407</v>
      </c>
      <c r="D255" s="54"/>
      <c r="E255" s="54"/>
      <c r="K255" s="57">
        <v>53</v>
      </c>
      <c r="L255" s="54" t="s">
        <v>901</v>
      </c>
      <c r="AC255" s="346" t="s">
        <v>334</v>
      </c>
      <c r="AD255" s="453">
        <v>54</v>
      </c>
      <c r="AE255" s="486" t="s">
        <v>984</v>
      </c>
      <c r="AF255" s="487"/>
      <c r="AG255" s="487"/>
      <c r="AH255" s="326"/>
      <c r="AI255" s="57"/>
    </row>
    <row r="256" spans="2:35">
      <c r="B256" s="72">
        <v>16</v>
      </c>
      <c r="C256" s="73" t="s">
        <v>407</v>
      </c>
      <c r="D256" s="54"/>
      <c r="E256" s="54"/>
      <c r="K256" s="57">
        <v>54</v>
      </c>
      <c r="L256" s="54" t="s">
        <v>334</v>
      </c>
      <c r="AC256" s="346" t="s">
        <v>335</v>
      </c>
      <c r="AD256" s="453">
        <v>55</v>
      </c>
      <c r="AE256" s="486" t="s">
        <v>984</v>
      </c>
      <c r="AF256" s="487"/>
      <c r="AG256" s="487"/>
      <c r="AH256" s="326"/>
      <c r="AI256" s="57"/>
    </row>
    <row r="257" spans="2:35">
      <c r="B257" s="72">
        <v>17</v>
      </c>
      <c r="C257" s="73" t="s">
        <v>407</v>
      </c>
      <c r="D257" s="54"/>
      <c r="E257" s="54"/>
      <c r="K257" s="57">
        <v>55</v>
      </c>
      <c r="L257" s="54" t="s">
        <v>335</v>
      </c>
      <c r="AC257" s="346" t="s">
        <v>336</v>
      </c>
      <c r="AD257" s="453">
        <v>56</v>
      </c>
      <c r="AE257" s="486" t="s">
        <v>984</v>
      </c>
      <c r="AF257" s="487"/>
      <c r="AG257" s="487"/>
      <c r="AH257" s="326"/>
      <c r="AI257" s="57"/>
    </row>
    <row r="258" spans="2:35">
      <c r="B258" s="72">
        <v>18</v>
      </c>
      <c r="C258" s="73" t="s">
        <v>407</v>
      </c>
      <c r="D258" s="54"/>
      <c r="E258" s="54"/>
      <c r="K258" s="57">
        <v>56</v>
      </c>
      <c r="L258" s="54" t="s">
        <v>336</v>
      </c>
      <c r="AC258" s="346" t="s">
        <v>337</v>
      </c>
      <c r="AD258" s="453">
        <v>57</v>
      </c>
      <c r="AE258" s="486" t="s">
        <v>984</v>
      </c>
      <c r="AF258" s="487"/>
      <c r="AG258" s="487"/>
      <c r="AH258" s="326"/>
      <c r="AI258" s="57"/>
    </row>
    <row r="259" spans="2:35">
      <c r="B259" s="72">
        <v>19</v>
      </c>
      <c r="C259" s="73" t="s">
        <v>407</v>
      </c>
      <c r="D259" s="54"/>
      <c r="E259" s="54"/>
      <c r="K259" s="57">
        <v>57</v>
      </c>
      <c r="L259" s="54" t="s">
        <v>337</v>
      </c>
      <c r="AC259" s="346" t="s">
        <v>338</v>
      </c>
      <c r="AD259" s="453">
        <v>58</v>
      </c>
      <c r="AE259" s="486" t="s">
        <v>984</v>
      </c>
      <c r="AF259" s="487"/>
      <c r="AG259" s="487"/>
      <c r="AH259" s="326"/>
      <c r="AI259" s="57"/>
    </row>
    <row r="260" spans="2:35">
      <c r="B260" s="72">
        <v>20</v>
      </c>
      <c r="C260" s="73" t="s">
        <v>407</v>
      </c>
      <c r="D260" s="54"/>
      <c r="E260" s="54"/>
      <c r="K260" s="57">
        <v>58</v>
      </c>
      <c r="L260" s="54" t="s">
        <v>338</v>
      </c>
      <c r="AC260" s="346" t="s">
        <v>339</v>
      </c>
      <c r="AD260" s="453">
        <v>59</v>
      </c>
      <c r="AE260" s="486" t="s">
        <v>984</v>
      </c>
      <c r="AF260" s="487"/>
      <c r="AG260" s="487"/>
      <c r="AH260" s="326"/>
      <c r="AI260" s="57"/>
    </row>
    <row r="261" spans="2:35">
      <c r="B261" s="72">
        <v>21</v>
      </c>
      <c r="C261" s="73" t="s">
        <v>407</v>
      </c>
      <c r="D261" s="54"/>
      <c r="E261" s="54"/>
      <c r="K261" s="57">
        <v>59</v>
      </c>
      <c r="L261" s="54" t="s">
        <v>339</v>
      </c>
      <c r="AC261" s="346" t="s">
        <v>340</v>
      </c>
      <c r="AD261" s="453">
        <v>60</v>
      </c>
      <c r="AE261" s="486" t="s">
        <v>984</v>
      </c>
      <c r="AF261" s="487"/>
      <c r="AG261" s="487"/>
      <c r="AH261" s="326"/>
      <c r="AI261" s="57"/>
    </row>
    <row r="262" spans="2:35">
      <c r="B262" s="72">
        <v>22</v>
      </c>
      <c r="C262" s="73" t="s">
        <v>407</v>
      </c>
      <c r="D262" s="54"/>
      <c r="E262" s="54"/>
      <c r="K262" s="57">
        <v>60</v>
      </c>
      <c r="L262" s="54" t="s">
        <v>340</v>
      </c>
      <c r="AC262" s="346" t="s">
        <v>341</v>
      </c>
      <c r="AD262" s="453">
        <v>61</v>
      </c>
      <c r="AE262" s="486" t="s">
        <v>984</v>
      </c>
      <c r="AF262" s="487"/>
      <c r="AG262" s="487"/>
      <c r="AH262" s="326"/>
      <c r="AI262" s="57"/>
    </row>
    <row r="263" spans="2:35">
      <c r="B263" s="72">
        <v>23</v>
      </c>
      <c r="C263" s="73" t="s">
        <v>407</v>
      </c>
      <c r="D263" s="54"/>
      <c r="E263" s="54"/>
      <c r="K263" s="57">
        <v>61</v>
      </c>
      <c r="L263" s="54" t="s">
        <v>341</v>
      </c>
      <c r="AC263" s="346" t="s">
        <v>342</v>
      </c>
      <c r="AD263" s="453">
        <v>62</v>
      </c>
      <c r="AE263" s="486" t="s">
        <v>985</v>
      </c>
      <c r="AF263" s="487"/>
      <c r="AG263" s="487"/>
      <c r="AH263" s="326"/>
      <c r="AI263" s="57"/>
    </row>
    <row r="264" spans="2:35">
      <c r="B264" s="72">
        <v>24</v>
      </c>
      <c r="C264" s="73" t="s">
        <v>407</v>
      </c>
      <c r="D264" s="54"/>
      <c r="E264" s="54"/>
      <c r="K264" s="57">
        <v>62</v>
      </c>
      <c r="L264" s="54" t="s">
        <v>342</v>
      </c>
      <c r="AC264" s="346" t="s">
        <v>343</v>
      </c>
      <c r="AD264" s="453">
        <v>63</v>
      </c>
      <c r="AE264" s="486" t="s">
        <v>985</v>
      </c>
      <c r="AF264" s="487"/>
      <c r="AG264" s="487"/>
      <c r="AH264" s="326"/>
      <c r="AI264" s="57"/>
    </row>
    <row r="265" spans="2:35">
      <c r="B265" s="72">
        <v>25</v>
      </c>
      <c r="C265" s="73" t="s">
        <v>407</v>
      </c>
      <c r="D265" s="54"/>
      <c r="E265" s="54"/>
      <c r="K265" s="57">
        <v>63</v>
      </c>
      <c r="L265" s="54" t="s">
        <v>343</v>
      </c>
      <c r="AC265" s="346" t="s">
        <v>903</v>
      </c>
      <c r="AD265" s="453">
        <v>64</v>
      </c>
      <c r="AE265" s="486" t="s">
        <v>985</v>
      </c>
      <c r="AF265" s="487"/>
      <c r="AG265" s="487"/>
      <c r="AH265" s="326"/>
      <c r="AI265" s="57"/>
    </row>
    <row r="266" spans="2:35">
      <c r="B266" s="72">
        <v>26</v>
      </c>
      <c r="C266" s="73" t="s">
        <v>407</v>
      </c>
      <c r="D266" s="54"/>
      <c r="E266" s="54"/>
      <c r="K266" s="57">
        <v>64</v>
      </c>
      <c r="L266" s="54" t="s">
        <v>903</v>
      </c>
      <c r="AC266" s="346" t="s">
        <v>904</v>
      </c>
      <c r="AD266" s="453">
        <v>65</v>
      </c>
      <c r="AE266" s="486" t="s">
        <v>985</v>
      </c>
      <c r="AF266" s="487"/>
      <c r="AG266" s="487"/>
      <c r="AH266" s="326"/>
      <c r="AI266" s="57"/>
    </row>
    <row r="267" spans="2:35">
      <c r="B267" s="72">
        <v>27</v>
      </c>
      <c r="C267" s="73" t="s">
        <v>407</v>
      </c>
      <c r="D267" s="54"/>
      <c r="E267" s="54"/>
      <c r="K267" s="57">
        <v>65</v>
      </c>
      <c r="L267" s="54" t="s">
        <v>904</v>
      </c>
      <c r="AC267" s="346" t="s">
        <v>344</v>
      </c>
      <c r="AD267" s="453">
        <v>66</v>
      </c>
      <c r="AE267" s="486" t="s">
        <v>985</v>
      </c>
      <c r="AF267" s="487"/>
      <c r="AG267" s="487"/>
      <c r="AH267" s="326"/>
      <c r="AI267" s="57"/>
    </row>
    <row r="268" spans="2:35">
      <c r="B268" s="72">
        <v>28</v>
      </c>
      <c r="C268" s="73" t="s">
        <v>407</v>
      </c>
      <c r="D268" s="54"/>
      <c r="E268" s="54"/>
      <c r="K268" s="57">
        <v>66</v>
      </c>
      <c r="L268" s="54" t="s">
        <v>344</v>
      </c>
      <c r="AC268" s="346" t="s">
        <v>345</v>
      </c>
      <c r="AD268" s="453">
        <v>67</v>
      </c>
      <c r="AE268" s="486" t="s">
        <v>985</v>
      </c>
      <c r="AF268" s="487"/>
      <c r="AG268" s="487"/>
      <c r="AH268" s="326"/>
      <c r="AI268" s="57"/>
    </row>
    <row r="269" spans="2:35">
      <c r="B269" s="72">
        <v>29</v>
      </c>
      <c r="C269" s="73" t="s">
        <v>407</v>
      </c>
      <c r="D269" s="54"/>
      <c r="E269" s="54"/>
      <c r="K269" s="57">
        <v>67</v>
      </c>
      <c r="L269" s="54" t="s">
        <v>905</v>
      </c>
      <c r="AC269" s="346" t="s">
        <v>346</v>
      </c>
      <c r="AD269" s="453">
        <v>68</v>
      </c>
      <c r="AE269" s="486" t="s">
        <v>986</v>
      </c>
      <c r="AF269" s="487"/>
      <c r="AG269" s="487"/>
      <c r="AH269" s="326"/>
      <c r="AI269" s="57"/>
    </row>
    <row r="270" spans="2:35">
      <c r="B270" s="72">
        <v>30</v>
      </c>
      <c r="C270" s="73" t="s">
        <v>407</v>
      </c>
      <c r="D270" s="54"/>
      <c r="E270" s="54"/>
      <c r="K270" s="57">
        <v>68</v>
      </c>
      <c r="L270" s="54" t="s">
        <v>346</v>
      </c>
      <c r="AC270" s="346" t="s">
        <v>347</v>
      </c>
      <c r="AD270" s="453">
        <v>69</v>
      </c>
      <c r="AE270" s="486" t="s">
        <v>986</v>
      </c>
      <c r="AF270" s="487"/>
      <c r="AG270" s="487"/>
      <c r="AH270" s="326"/>
      <c r="AI270" s="57"/>
    </row>
    <row r="271" spans="2:35">
      <c r="B271" s="72">
        <v>31</v>
      </c>
      <c r="C271" s="73" t="s">
        <v>407</v>
      </c>
      <c r="D271" s="54"/>
      <c r="E271" s="54"/>
      <c r="K271" s="57">
        <v>69</v>
      </c>
      <c r="L271" s="54" t="s">
        <v>347</v>
      </c>
      <c r="AC271" s="346" t="s">
        <v>920</v>
      </c>
      <c r="AD271" s="453">
        <v>690</v>
      </c>
      <c r="AE271" s="486" t="s">
        <v>986</v>
      </c>
      <c r="AF271" s="487"/>
      <c r="AG271" s="487"/>
      <c r="AH271" s="326"/>
      <c r="AI271" s="57"/>
    </row>
    <row r="272" spans="2:35">
      <c r="B272" s="72">
        <v>32</v>
      </c>
      <c r="C272" s="73" t="s">
        <v>407</v>
      </c>
      <c r="D272" s="54"/>
      <c r="E272" s="54"/>
      <c r="K272" s="65">
        <v>690</v>
      </c>
      <c r="L272" s="54" t="s">
        <v>920</v>
      </c>
      <c r="AC272" s="346" t="s">
        <v>918</v>
      </c>
      <c r="AD272" s="453">
        <v>691</v>
      </c>
      <c r="AE272" s="486" t="s">
        <v>986</v>
      </c>
      <c r="AF272" s="487"/>
      <c r="AG272" s="487"/>
      <c r="AH272" s="326"/>
      <c r="AI272" s="57"/>
    </row>
    <row r="273" spans="2:35">
      <c r="B273" s="72">
        <v>33</v>
      </c>
      <c r="C273" s="73" t="s">
        <v>407</v>
      </c>
      <c r="D273" s="54"/>
      <c r="E273" s="54"/>
      <c r="K273" s="65">
        <v>691</v>
      </c>
      <c r="L273" s="54" t="s">
        <v>348</v>
      </c>
      <c r="AC273" s="346" t="s">
        <v>906</v>
      </c>
      <c r="AD273" s="453">
        <v>692</v>
      </c>
      <c r="AE273" s="486" t="s">
        <v>986</v>
      </c>
      <c r="AF273" s="487"/>
      <c r="AG273" s="487"/>
      <c r="AH273" s="326"/>
      <c r="AI273" s="57"/>
    </row>
    <row r="274" spans="2:35">
      <c r="B274" s="72">
        <v>34</v>
      </c>
      <c r="C274" s="73" t="s">
        <v>407</v>
      </c>
      <c r="D274" s="54"/>
      <c r="E274" s="54"/>
      <c r="K274" s="65">
        <v>692</v>
      </c>
      <c r="L274" s="54" t="s">
        <v>906</v>
      </c>
      <c r="AC274" s="346" t="s">
        <v>349</v>
      </c>
      <c r="AD274" s="453">
        <v>693</v>
      </c>
      <c r="AE274" s="486" t="s">
        <v>986</v>
      </c>
      <c r="AF274" s="487"/>
      <c r="AG274" s="487"/>
      <c r="AH274" s="326"/>
      <c r="AI274" s="57"/>
    </row>
    <row r="275" spans="2:35">
      <c r="B275" s="72">
        <v>35</v>
      </c>
      <c r="C275" s="73" t="s">
        <v>407</v>
      </c>
      <c r="D275" s="54"/>
      <c r="E275" s="54"/>
      <c r="K275" s="65">
        <v>693</v>
      </c>
      <c r="L275" s="54" t="s">
        <v>349</v>
      </c>
      <c r="AC275" s="346" t="s">
        <v>350</v>
      </c>
      <c r="AD275" s="453">
        <v>694</v>
      </c>
      <c r="AE275" s="486" t="s">
        <v>986</v>
      </c>
      <c r="AF275" s="487"/>
      <c r="AG275" s="487"/>
      <c r="AH275" s="326"/>
      <c r="AI275" s="57"/>
    </row>
    <row r="276" spans="2:35">
      <c r="B276" s="72">
        <v>36</v>
      </c>
      <c r="C276" s="73" t="s">
        <v>407</v>
      </c>
      <c r="D276" s="54"/>
      <c r="E276" s="54"/>
      <c r="K276" s="65">
        <v>694</v>
      </c>
      <c r="L276" s="54" t="s">
        <v>350</v>
      </c>
      <c r="AC276" s="346" t="s">
        <v>351</v>
      </c>
      <c r="AD276" s="453">
        <v>70</v>
      </c>
      <c r="AE276" s="486" t="s">
        <v>986</v>
      </c>
      <c r="AF276" s="487"/>
      <c r="AG276" s="487"/>
      <c r="AH276" s="326"/>
      <c r="AI276" s="57"/>
    </row>
    <row r="277" spans="2:35">
      <c r="B277" s="72">
        <v>37</v>
      </c>
      <c r="C277" s="73" t="s">
        <v>407</v>
      </c>
      <c r="D277" s="54"/>
      <c r="E277" s="54"/>
      <c r="K277" s="57">
        <v>70</v>
      </c>
      <c r="L277" s="54" t="s">
        <v>351</v>
      </c>
      <c r="AC277" s="346" t="s">
        <v>352</v>
      </c>
      <c r="AD277" s="453">
        <v>71</v>
      </c>
      <c r="AE277" s="486" t="s">
        <v>987</v>
      </c>
      <c r="AF277" s="487"/>
      <c r="AG277" s="487"/>
      <c r="AH277" s="326"/>
      <c r="AI277" s="57"/>
    </row>
    <row r="278" spans="2:35">
      <c r="B278" s="72">
        <v>40</v>
      </c>
      <c r="C278" s="73" t="s">
        <v>407</v>
      </c>
      <c r="D278" s="54"/>
      <c r="E278" s="54"/>
      <c r="K278" s="57">
        <v>71</v>
      </c>
      <c r="L278" s="54" t="s">
        <v>352</v>
      </c>
      <c r="AC278" s="346" t="s">
        <v>353</v>
      </c>
      <c r="AD278" s="453">
        <v>72</v>
      </c>
      <c r="AE278" s="486" t="s">
        <v>987</v>
      </c>
      <c r="AF278" s="487"/>
      <c r="AG278" s="487"/>
      <c r="AH278" s="326"/>
      <c r="AI278" s="57"/>
    </row>
    <row r="279" spans="2:35">
      <c r="B279" s="72">
        <v>41</v>
      </c>
      <c r="C279" s="73" t="s">
        <v>407</v>
      </c>
      <c r="D279" s="54"/>
      <c r="E279" s="54"/>
      <c r="K279" s="57">
        <v>72</v>
      </c>
      <c r="L279" s="54" t="s">
        <v>353</v>
      </c>
      <c r="AC279" s="346" t="s">
        <v>354</v>
      </c>
      <c r="AD279" s="453">
        <v>73</v>
      </c>
      <c r="AE279" s="486" t="s">
        <v>987</v>
      </c>
      <c r="AF279" s="487"/>
      <c r="AG279" s="487"/>
      <c r="AH279" s="326"/>
      <c r="AI279" s="57"/>
    </row>
    <row r="280" spans="2:35">
      <c r="B280" s="74">
        <v>410</v>
      </c>
      <c r="C280" s="73" t="s">
        <v>407</v>
      </c>
      <c r="D280" s="54"/>
      <c r="E280" s="54"/>
      <c r="K280" s="57">
        <v>73</v>
      </c>
      <c r="L280" s="54" t="s">
        <v>354</v>
      </c>
      <c r="AC280" s="346" t="s">
        <v>355</v>
      </c>
      <c r="AD280" s="453">
        <v>74</v>
      </c>
      <c r="AE280" s="486" t="s">
        <v>987</v>
      </c>
      <c r="AF280" s="487"/>
      <c r="AG280" s="487"/>
      <c r="AH280" s="326"/>
      <c r="AI280" s="57"/>
    </row>
    <row r="281" spans="2:35">
      <c r="B281" s="74">
        <v>413</v>
      </c>
      <c r="C281" s="73" t="s">
        <v>407</v>
      </c>
      <c r="D281" s="54"/>
      <c r="E281" s="54"/>
      <c r="K281" s="57">
        <v>74</v>
      </c>
      <c r="L281" s="54" t="s">
        <v>355</v>
      </c>
      <c r="AC281" s="346" t="s">
        <v>356</v>
      </c>
      <c r="AD281" s="453">
        <v>75</v>
      </c>
      <c r="AE281" s="486" t="s">
        <v>980</v>
      </c>
      <c r="AF281" s="487"/>
      <c r="AG281" s="487"/>
      <c r="AH281" s="326"/>
      <c r="AI281" s="57"/>
    </row>
    <row r="282" spans="2:35">
      <c r="B282" s="74">
        <v>414</v>
      </c>
      <c r="C282" s="73" t="s">
        <v>407</v>
      </c>
      <c r="D282" s="54"/>
      <c r="E282" s="54"/>
      <c r="K282" s="57">
        <v>75</v>
      </c>
      <c r="L282" s="54" t="s">
        <v>356</v>
      </c>
      <c r="AC282" s="346" t="s">
        <v>357</v>
      </c>
      <c r="AD282" s="453">
        <v>76</v>
      </c>
      <c r="AE282" s="486" t="s">
        <v>980</v>
      </c>
      <c r="AF282" s="487"/>
      <c r="AG282" s="487"/>
      <c r="AH282" s="326"/>
      <c r="AI282" s="57"/>
    </row>
    <row r="283" spans="2:35">
      <c r="B283" s="76">
        <v>42</v>
      </c>
      <c r="C283" s="73" t="s">
        <v>407</v>
      </c>
      <c r="D283" s="54"/>
      <c r="E283" s="54"/>
      <c r="K283" s="57">
        <v>76</v>
      </c>
      <c r="L283" s="54" t="s">
        <v>357</v>
      </c>
      <c r="AC283" s="346" t="s">
        <v>358</v>
      </c>
      <c r="AD283" s="453">
        <v>77</v>
      </c>
      <c r="AE283" s="486" t="s">
        <v>980</v>
      </c>
      <c r="AF283" s="487"/>
      <c r="AG283" s="487"/>
      <c r="AH283" s="326"/>
      <c r="AI283" s="57"/>
    </row>
    <row r="284" spans="2:35">
      <c r="B284" s="76">
        <v>43</v>
      </c>
      <c r="C284" s="73" t="s">
        <v>407</v>
      </c>
      <c r="D284" s="54"/>
      <c r="E284" s="54"/>
      <c r="K284" s="57">
        <v>77</v>
      </c>
      <c r="L284" s="54" t="s">
        <v>358</v>
      </c>
      <c r="AC284" s="346" t="s">
        <v>359</v>
      </c>
      <c r="AD284" s="453">
        <v>78</v>
      </c>
      <c r="AE284" s="486" t="s">
        <v>988</v>
      </c>
      <c r="AF284" s="487"/>
      <c r="AG284" s="487"/>
      <c r="AH284" s="326"/>
      <c r="AI284" s="57"/>
    </row>
    <row r="285" spans="2:35">
      <c r="B285" s="76">
        <v>44</v>
      </c>
      <c r="C285" s="73" t="s">
        <v>407</v>
      </c>
      <c r="D285" s="54"/>
      <c r="E285" s="54"/>
      <c r="K285" s="57">
        <v>78</v>
      </c>
      <c r="L285" s="54" t="s">
        <v>359</v>
      </c>
      <c r="AC285" s="346" t="s">
        <v>360</v>
      </c>
      <c r="AD285" s="453">
        <v>79</v>
      </c>
      <c r="AE285" s="486" t="s">
        <v>988</v>
      </c>
      <c r="AF285" s="487"/>
      <c r="AG285" s="487"/>
      <c r="AH285" s="326"/>
      <c r="AI285" s="57"/>
    </row>
    <row r="286" spans="2:35">
      <c r="B286" s="76">
        <v>45</v>
      </c>
      <c r="C286" s="73" t="s">
        <v>407</v>
      </c>
      <c r="D286" s="54"/>
      <c r="E286" s="54"/>
      <c r="K286" s="57">
        <v>79</v>
      </c>
      <c r="L286" s="54" t="s">
        <v>360</v>
      </c>
      <c r="AC286" s="346" t="s">
        <v>361</v>
      </c>
      <c r="AD286" s="453">
        <v>80</v>
      </c>
      <c r="AE286" s="486" t="s">
        <v>988</v>
      </c>
      <c r="AF286" s="487"/>
      <c r="AG286" s="487"/>
      <c r="AH286" s="326"/>
      <c r="AI286" s="57"/>
    </row>
    <row r="287" spans="2:35">
      <c r="B287" s="76">
        <v>46</v>
      </c>
      <c r="C287" s="73" t="s">
        <v>407</v>
      </c>
      <c r="D287" s="54"/>
      <c r="E287" s="54"/>
      <c r="K287" s="57">
        <v>80</v>
      </c>
      <c r="L287" s="54" t="s">
        <v>361</v>
      </c>
      <c r="AC287" s="346" t="s">
        <v>362</v>
      </c>
      <c r="AD287" s="453">
        <v>81</v>
      </c>
      <c r="AE287" s="486" t="s">
        <v>989</v>
      </c>
      <c r="AF287" s="487"/>
      <c r="AG287" s="487"/>
      <c r="AH287" s="326"/>
      <c r="AI287" s="57"/>
    </row>
    <row r="288" spans="2:35">
      <c r="B288" s="76">
        <v>47</v>
      </c>
      <c r="C288" s="73" t="s">
        <v>407</v>
      </c>
      <c r="D288" s="54"/>
      <c r="E288" s="54"/>
      <c r="K288" s="57">
        <v>81</v>
      </c>
      <c r="L288" s="54" t="s">
        <v>362</v>
      </c>
      <c r="AC288" s="346" t="s">
        <v>907</v>
      </c>
      <c r="AD288" s="453">
        <v>82</v>
      </c>
      <c r="AE288" s="486" t="s">
        <v>989</v>
      </c>
      <c r="AF288" s="487"/>
      <c r="AG288" s="487"/>
      <c r="AH288" s="326"/>
      <c r="AI288" s="57"/>
    </row>
    <row r="289" spans="2:35">
      <c r="B289" s="76">
        <v>48</v>
      </c>
      <c r="C289" s="73" t="s">
        <v>407</v>
      </c>
      <c r="D289" s="54"/>
      <c r="E289" s="54"/>
      <c r="K289" s="57">
        <v>82</v>
      </c>
      <c r="L289" s="54" t="s">
        <v>907</v>
      </c>
      <c r="AC289" s="346" t="s">
        <v>363</v>
      </c>
      <c r="AD289" s="453">
        <v>83</v>
      </c>
      <c r="AE289" s="486" t="s">
        <v>990</v>
      </c>
      <c r="AF289" s="487"/>
      <c r="AG289" s="487"/>
      <c r="AH289" s="326"/>
      <c r="AI289" s="57"/>
    </row>
    <row r="290" spans="2:35">
      <c r="B290" s="76">
        <v>49</v>
      </c>
      <c r="C290" s="73" t="s">
        <v>407</v>
      </c>
      <c r="D290" s="54"/>
      <c r="E290" s="54"/>
      <c r="K290" s="57">
        <v>83</v>
      </c>
      <c r="L290" s="54" t="s">
        <v>363</v>
      </c>
      <c r="AC290" s="346" t="s">
        <v>364</v>
      </c>
      <c r="AD290" s="453">
        <v>84</v>
      </c>
      <c r="AE290" s="486" t="s">
        <v>990</v>
      </c>
      <c r="AF290" s="487"/>
      <c r="AG290" s="487"/>
      <c r="AH290" s="326"/>
      <c r="AI290" s="57"/>
    </row>
    <row r="291" spans="2:35">
      <c r="B291" s="76">
        <v>62</v>
      </c>
      <c r="C291" s="73" t="s">
        <v>407</v>
      </c>
      <c r="D291" s="54"/>
      <c r="E291" s="54"/>
      <c r="K291" s="57">
        <v>84</v>
      </c>
      <c r="L291" s="54" t="s">
        <v>364</v>
      </c>
      <c r="AC291" s="346" t="s">
        <v>365</v>
      </c>
      <c r="AD291" s="453">
        <v>85</v>
      </c>
      <c r="AE291" s="486" t="s">
        <v>990</v>
      </c>
      <c r="AF291" s="487"/>
      <c r="AG291" s="487"/>
      <c r="AH291" s="326"/>
      <c r="AI291" s="57"/>
    </row>
    <row r="292" spans="2:35">
      <c r="B292" s="76">
        <v>63</v>
      </c>
      <c r="C292" s="73" t="s">
        <v>407</v>
      </c>
      <c r="D292" s="54"/>
      <c r="E292" s="54"/>
      <c r="K292" s="57">
        <v>85</v>
      </c>
      <c r="L292" s="54" t="s">
        <v>365</v>
      </c>
      <c r="AC292" s="346" t="s">
        <v>366</v>
      </c>
      <c r="AD292" s="453">
        <v>86</v>
      </c>
      <c r="AE292" s="486" t="s">
        <v>264</v>
      </c>
      <c r="AF292" s="487"/>
      <c r="AG292" s="487"/>
      <c r="AH292" s="326"/>
      <c r="AI292" s="57"/>
    </row>
    <row r="293" spans="2:35">
      <c r="B293" s="76">
        <v>64</v>
      </c>
      <c r="C293" s="73" t="s">
        <v>407</v>
      </c>
      <c r="D293" s="54"/>
      <c r="E293" s="54"/>
      <c r="K293" s="57">
        <v>86</v>
      </c>
      <c r="L293" s="54" t="s">
        <v>366</v>
      </c>
      <c r="AC293" s="346" t="s">
        <v>367</v>
      </c>
      <c r="AD293" s="453">
        <v>87</v>
      </c>
      <c r="AE293" s="486" t="s">
        <v>264</v>
      </c>
      <c r="AF293" s="487"/>
      <c r="AG293" s="487"/>
      <c r="AH293" s="326"/>
      <c r="AI293" s="57"/>
    </row>
    <row r="294" spans="2:35">
      <c r="B294" s="76">
        <v>65</v>
      </c>
      <c r="C294" s="73" t="s">
        <v>407</v>
      </c>
      <c r="D294" s="54"/>
      <c r="E294" s="54"/>
      <c r="K294" s="57">
        <v>87</v>
      </c>
      <c r="L294" s="54" t="s">
        <v>367</v>
      </c>
      <c r="AC294" s="346" t="s">
        <v>368</v>
      </c>
      <c r="AD294" s="453">
        <v>88</v>
      </c>
      <c r="AE294" s="486" t="s">
        <v>265</v>
      </c>
      <c r="AF294" s="487"/>
      <c r="AG294" s="487"/>
      <c r="AH294" s="326"/>
      <c r="AI294" s="57"/>
    </row>
    <row r="295" spans="2:35">
      <c r="B295" s="76">
        <v>66</v>
      </c>
      <c r="C295" s="73" t="s">
        <v>407</v>
      </c>
      <c r="D295" s="54"/>
      <c r="E295" s="54"/>
      <c r="K295" s="57">
        <v>88</v>
      </c>
      <c r="L295" s="54" t="s">
        <v>368</v>
      </c>
      <c r="AC295" s="346" t="s">
        <v>369</v>
      </c>
      <c r="AD295" s="453">
        <v>89</v>
      </c>
      <c r="AE295" s="486" t="s">
        <v>265</v>
      </c>
      <c r="AF295" s="487"/>
      <c r="AG295" s="487"/>
      <c r="AH295" s="326"/>
      <c r="AI295" s="57"/>
    </row>
    <row r="296" spans="2:35">
      <c r="B296" s="76">
        <v>67</v>
      </c>
      <c r="C296" s="73" t="s">
        <v>407</v>
      </c>
      <c r="D296" s="54"/>
      <c r="E296" s="54"/>
      <c r="K296" s="57">
        <v>89</v>
      </c>
      <c r="L296" s="54" t="s">
        <v>369</v>
      </c>
      <c r="AC296" s="346" t="s">
        <v>370</v>
      </c>
      <c r="AD296" s="453">
        <v>90</v>
      </c>
      <c r="AE296" s="486" t="s">
        <v>265</v>
      </c>
      <c r="AF296" s="487"/>
      <c r="AG296" s="487"/>
      <c r="AH296" s="326"/>
      <c r="AI296" s="57"/>
    </row>
    <row r="297" spans="2:35">
      <c r="B297" s="76">
        <v>68</v>
      </c>
      <c r="C297" s="73" t="s">
        <v>407</v>
      </c>
      <c r="D297" s="54"/>
      <c r="E297" s="54"/>
      <c r="K297" s="57">
        <v>90</v>
      </c>
      <c r="L297" s="54" t="s">
        <v>370</v>
      </c>
      <c r="AC297" s="346" t="s">
        <v>371</v>
      </c>
      <c r="AD297" s="453">
        <v>91</v>
      </c>
      <c r="AE297" s="486" t="s">
        <v>265</v>
      </c>
      <c r="AF297" s="487"/>
      <c r="AG297" s="487"/>
      <c r="AH297" s="326"/>
      <c r="AI297" s="57"/>
    </row>
    <row r="298" spans="2:35">
      <c r="B298" s="76">
        <v>69</v>
      </c>
      <c r="C298" s="73" t="s">
        <v>407</v>
      </c>
      <c r="D298" s="54"/>
      <c r="E298" s="54"/>
      <c r="K298" s="57">
        <v>91</v>
      </c>
      <c r="L298" s="54" t="s">
        <v>371</v>
      </c>
      <c r="AC298" s="346" t="s">
        <v>372</v>
      </c>
      <c r="AD298" s="453">
        <v>92</v>
      </c>
      <c r="AE298" s="486" t="s">
        <v>265</v>
      </c>
      <c r="AF298" s="487"/>
      <c r="AG298" s="487"/>
      <c r="AH298" s="326"/>
      <c r="AI298" s="57"/>
    </row>
    <row r="299" spans="2:35">
      <c r="B299" s="75">
        <v>690</v>
      </c>
      <c r="C299" s="73" t="s">
        <v>407</v>
      </c>
      <c r="D299" s="54"/>
      <c r="E299" s="54"/>
      <c r="K299" s="57">
        <v>92</v>
      </c>
      <c r="L299" s="54" t="s">
        <v>372</v>
      </c>
      <c r="AC299" s="346" t="s">
        <v>373</v>
      </c>
      <c r="AD299" s="453">
        <v>93</v>
      </c>
      <c r="AE299" s="486" t="s">
        <v>265</v>
      </c>
      <c r="AF299" s="487"/>
      <c r="AG299" s="487"/>
      <c r="AH299" s="326"/>
      <c r="AI299" s="57"/>
    </row>
    <row r="300" spans="2:35">
      <c r="B300" s="75">
        <v>691</v>
      </c>
      <c r="C300" s="73" t="s">
        <v>407</v>
      </c>
      <c r="D300" s="54"/>
      <c r="E300" s="54"/>
      <c r="K300" s="57">
        <v>93</v>
      </c>
      <c r="L300" s="54" t="s">
        <v>373</v>
      </c>
      <c r="AC300" s="346" t="s">
        <v>374</v>
      </c>
      <c r="AD300" s="453">
        <v>94</v>
      </c>
      <c r="AE300" s="486" t="s">
        <v>265</v>
      </c>
      <c r="AF300" s="487"/>
      <c r="AG300" s="487"/>
      <c r="AH300" s="326"/>
      <c r="AI300" s="57"/>
    </row>
    <row r="301" spans="2:35">
      <c r="B301" s="75">
        <v>692</v>
      </c>
      <c r="C301" s="73" t="s">
        <v>407</v>
      </c>
      <c r="D301" s="54"/>
      <c r="E301" s="54"/>
      <c r="K301" s="57">
        <v>94</v>
      </c>
      <c r="L301" s="54" t="s">
        <v>374</v>
      </c>
      <c r="AC301" s="346" t="s">
        <v>375</v>
      </c>
      <c r="AD301" s="453">
        <v>95</v>
      </c>
      <c r="AE301" s="486" t="s">
        <v>265</v>
      </c>
      <c r="AF301" s="487"/>
      <c r="AG301" s="487"/>
      <c r="AH301" s="326"/>
      <c r="AI301" s="57"/>
    </row>
    <row r="302" spans="2:35">
      <c r="B302" s="75">
        <v>694</v>
      </c>
      <c r="C302" s="73" t="s">
        <v>407</v>
      </c>
      <c r="D302" s="54"/>
      <c r="E302" s="54"/>
      <c r="K302" s="57">
        <v>95</v>
      </c>
      <c r="L302" s="54" t="s">
        <v>375</v>
      </c>
      <c r="AC302" s="346" t="s">
        <v>376</v>
      </c>
      <c r="AD302" s="453">
        <v>96</v>
      </c>
      <c r="AE302" s="486" t="s">
        <v>265</v>
      </c>
      <c r="AF302" s="487"/>
      <c r="AG302" s="487"/>
      <c r="AH302" s="326"/>
      <c r="AI302" s="57"/>
    </row>
    <row r="303" spans="2:35">
      <c r="B303" s="76">
        <v>97</v>
      </c>
      <c r="C303" s="73" t="s">
        <v>407</v>
      </c>
      <c r="D303" s="54"/>
      <c r="E303" s="54"/>
      <c r="K303" s="57">
        <v>96</v>
      </c>
      <c r="L303" s="54" t="s">
        <v>376</v>
      </c>
      <c r="AC303" s="346" t="s">
        <v>377</v>
      </c>
      <c r="AD303" s="453">
        <v>97</v>
      </c>
      <c r="AE303" s="486" t="s">
        <v>266</v>
      </c>
      <c r="AF303" s="487"/>
      <c r="AG303" s="487"/>
      <c r="AH303" s="326"/>
      <c r="AI303" s="57"/>
    </row>
    <row r="304" spans="2:35">
      <c r="B304" s="76">
        <v>98</v>
      </c>
      <c r="C304" s="73" t="s">
        <v>407</v>
      </c>
      <c r="D304" s="54"/>
      <c r="E304" s="54"/>
      <c r="K304" s="57">
        <v>97</v>
      </c>
      <c r="L304" s="54" t="s">
        <v>377</v>
      </c>
      <c r="AC304" s="346" t="s">
        <v>378</v>
      </c>
      <c r="AD304" s="453">
        <v>98</v>
      </c>
      <c r="AE304" s="486" t="s">
        <v>266</v>
      </c>
      <c r="AF304" s="487"/>
      <c r="AG304" s="487"/>
      <c r="AH304" s="326"/>
      <c r="AI304" s="57"/>
    </row>
    <row r="305" spans="2:35">
      <c r="B305" s="76">
        <v>99</v>
      </c>
      <c r="C305" s="73" t="s">
        <v>407</v>
      </c>
      <c r="D305" s="54"/>
      <c r="E305" s="54"/>
      <c r="K305" s="57">
        <v>98</v>
      </c>
      <c r="L305" s="54" t="s">
        <v>378</v>
      </c>
      <c r="AC305" s="346" t="s">
        <v>379</v>
      </c>
      <c r="AD305" s="453">
        <v>99</v>
      </c>
      <c r="AE305" s="486" t="s">
        <v>267</v>
      </c>
      <c r="AF305" s="487"/>
      <c r="AG305" s="487"/>
      <c r="AH305" s="326"/>
      <c r="AI305" s="57"/>
    </row>
    <row r="306" spans="2:35">
      <c r="K306" s="57">
        <v>99</v>
      </c>
      <c r="L306" s="54" t="s">
        <v>379</v>
      </c>
    </row>
  </sheetData>
  <sheetProtection algorithmName="SHA-512" hashValue="GpwtBvUpt9ED0tP7kRNZ/Bf1erEuidOEoR9qRfcpBCMLUUtoX1nIPfyzdFQy/SdNo5Sw015Fp+BBQPjco8wjBg==" saltValue="SWowoLHI2ozydbjb47AQRg==" spinCount="100000" sheet="1" selectLockedCells="1"/>
  <mergeCells count="329">
    <mergeCell ref="H61:N61"/>
    <mergeCell ref="O62:AA62"/>
    <mergeCell ref="X76:Y76"/>
    <mergeCell ref="O77:AA77"/>
    <mergeCell ref="V70:Z70"/>
    <mergeCell ref="V68:Z68"/>
    <mergeCell ref="R67:AA67"/>
    <mergeCell ref="D43:H45"/>
    <mergeCell ref="P64:AA64"/>
    <mergeCell ref="F75:G75"/>
    <mergeCell ref="O75:P75"/>
    <mergeCell ref="X75:Y75"/>
    <mergeCell ref="Z49:AA49"/>
    <mergeCell ref="I43:I45"/>
    <mergeCell ref="D46:H48"/>
    <mergeCell ref="I46:I48"/>
    <mergeCell ref="B70:S70"/>
    <mergeCell ref="B71:T71"/>
    <mergeCell ref="E79:M79"/>
    <mergeCell ref="Z29:AA48"/>
    <mergeCell ref="W84:AA84"/>
    <mergeCell ref="D65:AA65"/>
    <mergeCell ref="B51:Z51"/>
    <mergeCell ref="B80:D81"/>
    <mergeCell ref="E81:T81"/>
    <mergeCell ref="B78:D78"/>
    <mergeCell ref="B79:D79"/>
    <mergeCell ref="U78:AA78"/>
    <mergeCell ref="F80:L80"/>
    <mergeCell ref="E78:R78"/>
    <mergeCell ref="W79:X79"/>
    <mergeCell ref="I29:I32"/>
    <mergeCell ref="I33:I36"/>
    <mergeCell ref="Y79:Z79"/>
    <mergeCell ref="B72:AA72"/>
    <mergeCell ref="I38:I40"/>
    <mergeCell ref="P79:V79"/>
    <mergeCell ref="U80:V81"/>
    <mergeCell ref="D29:H37"/>
    <mergeCell ref="C29:C37"/>
    <mergeCell ref="C38:C42"/>
    <mergeCell ref="D49:H49"/>
    <mergeCell ref="E148:H148"/>
    <mergeCell ref="D152:I159"/>
    <mergeCell ref="P119:S119"/>
    <mergeCell ref="B115:F115"/>
    <mergeCell ref="P129:R129"/>
    <mergeCell ref="P117:S117"/>
    <mergeCell ref="T117:X117"/>
    <mergeCell ref="Y117:AA117"/>
    <mergeCell ref="P118:S118"/>
    <mergeCell ref="T118:X118"/>
    <mergeCell ref="H129:O129"/>
    <mergeCell ref="W128:Y128"/>
    <mergeCell ref="W129:Y129"/>
    <mergeCell ref="H128:O128"/>
    <mergeCell ref="S128:U128"/>
    <mergeCell ref="S127:U127"/>
    <mergeCell ref="C128:G128"/>
    <mergeCell ref="H125:O125"/>
    <mergeCell ref="S129:U129"/>
    <mergeCell ref="B120:K121"/>
    <mergeCell ref="C129:G129"/>
    <mergeCell ref="P128:R128"/>
    <mergeCell ref="H126:O126"/>
    <mergeCell ref="S126:U126"/>
    <mergeCell ref="G118:K118"/>
    <mergeCell ref="L118:N118"/>
    <mergeCell ref="X162:Z162"/>
    <mergeCell ref="X163:Z163"/>
    <mergeCell ref="K170:L170"/>
    <mergeCell ref="R170:S170"/>
    <mergeCell ref="K169:Z169"/>
    <mergeCell ref="N163:R163"/>
    <mergeCell ref="J163:L163"/>
    <mergeCell ref="J161:L161"/>
    <mergeCell ref="M161:AA161"/>
    <mergeCell ref="K160:O160"/>
    <mergeCell ref="P154:AA154"/>
    <mergeCell ref="S132:U132"/>
    <mergeCell ref="W146:X146"/>
    <mergeCell ref="M136:V136"/>
    <mergeCell ref="B135:AA135"/>
    <mergeCell ref="E145:H145"/>
    <mergeCell ref="S146:U146"/>
    <mergeCell ref="C144:D144"/>
    <mergeCell ref="N145:R145"/>
    <mergeCell ref="I146:M146"/>
    <mergeCell ref="C146:D146"/>
    <mergeCell ref="E146:H146"/>
    <mergeCell ref="C117:F117"/>
    <mergeCell ref="X98:AA98"/>
    <mergeCell ref="X99:AA99"/>
    <mergeCell ref="W125:Y125"/>
    <mergeCell ref="Z126:AA126"/>
    <mergeCell ref="Z131:AA131"/>
    <mergeCell ref="Z132:AA132"/>
    <mergeCell ref="Z133:AA133"/>
    <mergeCell ref="C131:G131"/>
    <mergeCell ref="P131:R131"/>
    <mergeCell ref="Z129:AA129"/>
    <mergeCell ref="U99:V99"/>
    <mergeCell ref="Q100:S100"/>
    <mergeCell ref="W131:Y131"/>
    <mergeCell ref="S125:V125"/>
    <mergeCell ref="B133:R133"/>
    <mergeCell ref="W127:Y127"/>
    <mergeCell ref="H131:O131"/>
    <mergeCell ref="S131:U131"/>
    <mergeCell ref="C130:G130"/>
    <mergeCell ref="H130:O130"/>
    <mergeCell ref="P130:R130"/>
    <mergeCell ref="S130:U130"/>
    <mergeCell ref="W130:Y130"/>
    <mergeCell ref="L117:N117"/>
    <mergeCell ref="K109:L109"/>
    <mergeCell ref="K112:R112"/>
    <mergeCell ref="S112:U112"/>
    <mergeCell ref="G116:K116"/>
    <mergeCell ref="L116:N116"/>
    <mergeCell ref="P116:S116"/>
    <mergeCell ref="T116:X116"/>
    <mergeCell ref="Y116:AA116"/>
    <mergeCell ref="F83:L83"/>
    <mergeCell ref="H89:J95"/>
    <mergeCell ref="E89:G92"/>
    <mergeCell ref="E94:F94"/>
    <mergeCell ref="J88:K88"/>
    <mergeCell ref="E87:J87"/>
    <mergeCell ref="E88:I88"/>
    <mergeCell ref="C99:G99"/>
    <mergeCell ref="H101:P101"/>
    <mergeCell ref="C100:G100"/>
    <mergeCell ref="H100:P100"/>
    <mergeCell ref="H99:P99"/>
    <mergeCell ref="C98:G98"/>
    <mergeCell ref="H96:P96"/>
    <mergeCell ref="H98:P98"/>
    <mergeCell ref="B87:D88"/>
    <mergeCell ref="H85:T85"/>
    <mergeCell ref="H86:T86"/>
    <mergeCell ref="B85:D86"/>
    <mergeCell ref="U3:AA3"/>
    <mergeCell ref="U4:W4"/>
    <mergeCell ref="C11:J12"/>
    <mergeCell ref="B58:C58"/>
    <mergeCell ref="B55:C55"/>
    <mergeCell ref="B57:C57"/>
    <mergeCell ref="B52:Z52"/>
    <mergeCell ref="D56:AA59"/>
    <mergeCell ref="Q11:AA11"/>
    <mergeCell ref="Q12:AA12"/>
    <mergeCell ref="R10:W10"/>
    <mergeCell ref="Q13:Y13"/>
    <mergeCell ref="B23:Z23"/>
    <mergeCell ref="C28:H28"/>
    <mergeCell ref="I28:N28"/>
    <mergeCell ref="O28:AA28"/>
    <mergeCell ref="D55:Z55"/>
    <mergeCell ref="D38:H40"/>
    <mergeCell ref="C27:AA27"/>
    <mergeCell ref="J49:N49"/>
    <mergeCell ref="C43:C45"/>
    <mergeCell ref="C46:C48"/>
    <mergeCell ref="P127:R127"/>
    <mergeCell ref="P126:R126"/>
    <mergeCell ref="W126:Y126"/>
    <mergeCell ref="L120:AA121"/>
    <mergeCell ref="B125:G125"/>
    <mergeCell ref="I144:M144"/>
    <mergeCell ref="N144:R144"/>
    <mergeCell ref="S144:V144"/>
    <mergeCell ref="X136:Y136"/>
    <mergeCell ref="X137:Y137"/>
    <mergeCell ref="C140:D140"/>
    <mergeCell ref="Q140:R140"/>
    <mergeCell ref="E144:H144"/>
    <mergeCell ref="H136:L136"/>
    <mergeCell ref="H137:L137"/>
    <mergeCell ref="B136:G137"/>
    <mergeCell ref="H127:O127"/>
    <mergeCell ref="Z127:AA127"/>
    <mergeCell ref="Z128:AA128"/>
    <mergeCell ref="C127:G127"/>
    <mergeCell ref="Z130:AA130"/>
    <mergeCell ref="P125:R125"/>
    <mergeCell ref="Z125:AA125"/>
    <mergeCell ref="H172:J172"/>
    <mergeCell ref="K172:Z172"/>
    <mergeCell ref="B160:I161"/>
    <mergeCell ref="I147:M147"/>
    <mergeCell ref="N147:R147"/>
    <mergeCell ref="W132:Y132"/>
    <mergeCell ref="W133:Y133"/>
    <mergeCell ref="S147:U147"/>
    <mergeCell ref="C147:D147"/>
    <mergeCell ref="E147:H147"/>
    <mergeCell ref="S133:U133"/>
    <mergeCell ref="M137:V137"/>
    <mergeCell ref="B134:J134"/>
    <mergeCell ref="K134:AA134"/>
    <mergeCell ref="W144:AA144"/>
    <mergeCell ref="S145:U145"/>
    <mergeCell ref="W145:X145"/>
    <mergeCell ref="I145:M145"/>
    <mergeCell ref="X158:AA158"/>
    <mergeCell ref="J152:L159"/>
    <mergeCell ref="B162:C164"/>
    <mergeCell ref="N146:R146"/>
    <mergeCell ref="C145:D145"/>
    <mergeCell ref="C148:D148"/>
    <mergeCell ref="N185:AA185"/>
    <mergeCell ref="I148:M148"/>
    <mergeCell ref="N148:R148"/>
    <mergeCell ref="M152:AA152"/>
    <mergeCell ref="X157:AA157"/>
    <mergeCell ref="S148:U148"/>
    <mergeCell ref="W147:X147"/>
    <mergeCell ref="B152:C159"/>
    <mergeCell ref="W148:X148"/>
    <mergeCell ref="M171:N171"/>
    <mergeCell ref="D164:H164"/>
    <mergeCell ref="K166:L166"/>
    <mergeCell ref="K167:L167"/>
    <mergeCell ref="J162:L162"/>
    <mergeCell ref="N162:R162"/>
    <mergeCell ref="D162:H162"/>
    <mergeCell ref="I164:AA164"/>
    <mergeCell ref="D163:H163"/>
    <mergeCell ref="D184:AA184"/>
    <mergeCell ref="D181:AA181"/>
    <mergeCell ref="D182:AA182"/>
    <mergeCell ref="D183:AA183"/>
    <mergeCell ref="D173:AA173"/>
    <mergeCell ref="B165:C173"/>
    <mergeCell ref="Y119:AA119"/>
    <mergeCell ref="T119:X119"/>
    <mergeCell ref="U1:AA1"/>
    <mergeCell ref="X22:AA22"/>
    <mergeCell ref="V108:AA108"/>
    <mergeCell ref="X61:Z61"/>
    <mergeCell ref="K69:O69"/>
    <mergeCell ref="V69:Z69"/>
    <mergeCell ref="B50:Z50"/>
    <mergeCell ref="O41:Y41"/>
    <mergeCell ref="B106:B109"/>
    <mergeCell ref="Y91:Z91"/>
    <mergeCell ref="X112:Z112"/>
    <mergeCell ref="Y94:Z94"/>
    <mergeCell ref="Y118:AA118"/>
    <mergeCell ref="Y95:Z95"/>
    <mergeCell ref="V106:AA106"/>
    <mergeCell ref="K108:L108"/>
    <mergeCell ref="C96:G96"/>
    <mergeCell ref="B111:J111"/>
    <mergeCell ref="V109:AA109"/>
    <mergeCell ref="T88:V88"/>
    <mergeCell ref="Y115:AA115"/>
    <mergeCell ref="C97:G97"/>
    <mergeCell ref="C118:F118"/>
    <mergeCell ref="C119:F119"/>
    <mergeCell ref="L115:N115"/>
    <mergeCell ref="K111:R111"/>
    <mergeCell ref="M108:U108"/>
    <mergeCell ref="C126:G126"/>
    <mergeCell ref="U98:V98"/>
    <mergeCell ref="U96:W96"/>
    <mergeCell ref="S111:W111"/>
    <mergeCell ref="M109:U109"/>
    <mergeCell ref="C109:J109"/>
    <mergeCell ref="V112:W112"/>
    <mergeCell ref="G119:K119"/>
    <mergeCell ref="L119:N119"/>
    <mergeCell ref="G115:K115"/>
    <mergeCell ref="C116:F116"/>
    <mergeCell ref="K106:L106"/>
    <mergeCell ref="M106:U106"/>
    <mergeCell ref="U102:V102"/>
    <mergeCell ref="C107:J107"/>
    <mergeCell ref="C112:J112"/>
    <mergeCell ref="O115:S115"/>
    <mergeCell ref="T115:X115"/>
    <mergeCell ref="G117:K117"/>
    <mergeCell ref="U101:V101"/>
    <mergeCell ref="X103:AA103"/>
    <mergeCell ref="Q101:S101"/>
    <mergeCell ref="X104:AA104"/>
    <mergeCell ref="U100:V100"/>
    <mergeCell ref="B89:D95"/>
    <mergeCell ref="Y89:Z89"/>
    <mergeCell ref="X100:AA100"/>
    <mergeCell ref="X101:AA101"/>
    <mergeCell ref="X97:AA97"/>
    <mergeCell ref="Q97:S97"/>
    <mergeCell ref="Q98:S98"/>
    <mergeCell ref="H103:P103"/>
    <mergeCell ref="C108:J108"/>
    <mergeCell ref="Q104:V104"/>
    <mergeCell ref="Q103:S103"/>
    <mergeCell ref="X102:AA102"/>
    <mergeCell ref="C102:P102"/>
    <mergeCell ref="H104:P104"/>
    <mergeCell ref="Q102:S102"/>
    <mergeCell ref="C103:G104"/>
    <mergeCell ref="U103:V103"/>
    <mergeCell ref="W80:AA81"/>
    <mergeCell ref="Y93:Z93"/>
    <mergeCell ref="X111:AA111"/>
    <mergeCell ref="U82:V84"/>
    <mergeCell ref="E84:T84"/>
    <mergeCell ref="H97:P97"/>
    <mergeCell ref="P87:T87"/>
    <mergeCell ref="V87:W87"/>
    <mergeCell ref="U97:V97"/>
    <mergeCell ref="W86:AA86"/>
    <mergeCell ref="W85:AA85"/>
    <mergeCell ref="C106:J106"/>
    <mergeCell ref="K107:L107"/>
    <mergeCell ref="M107:U107"/>
    <mergeCell ref="V107:AA107"/>
    <mergeCell ref="X96:AA96"/>
    <mergeCell ref="M87:O87"/>
    <mergeCell ref="M88:O88"/>
    <mergeCell ref="B82:D84"/>
    <mergeCell ref="B96:B104"/>
    <mergeCell ref="C101:G101"/>
    <mergeCell ref="Y92:Z92"/>
    <mergeCell ref="Y90:Z90"/>
    <mergeCell ref="Q99:S99"/>
  </mergeCells>
  <phoneticPr fontId="1"/>
  <conditionalFormatting sqref="A145:A148">
    <cfRule type="containsText" dxfId="563" priority="285" operator="containsText" text="未入力">
      <formula>NOT(ISERROR(SEARCH("未入力",A145)))</formula>
    </cfRule>
    <cfRule type="containsText" dxfId="562" priority="286" operator="containsText" text="未入力">
      <formula>NOT(ISERROR(SEARCH("未入力",A145)))</formula>
    </cfRule>
    <cfRule type="containsText" dxfId="561" priority="287" operator="containsText" text="未入力">
      <formula>NOT(ISERROR(SEARCH("未入力",A145)))</formula>
    </cfRule>
  </conditionalFormatting>
  <conditionalFormatting sqref="B23">
    <cfRule type="expression" dxfId="560" priority="271">
      <formula>$B$23=""</formula>
    </cfRule>
    <cfRule type="expression" dxfId="559" priority="55">
      <formula>LEN(INDIRECT(ADDRESS(ROW(),COLUMN())))&gt;40</formula>
    </cfRule>
  </conditionalFormatting>
  <conditionalFormatting sqref="B29:B40 B43:B49">
    <cfRule type="expression" dxfId="558" priority="142">
      <formula>AND($B$29="",$B$30="",$B$31="",$B$32="",$B$33="",$B$34="",$B$35="",$B$36="",$B$37="",$B$38="",$B$39="",$B$40="",$B$43="",$B$44="",$B$45="",$B$46="",$B$47="",$B$48="",$B$49="")</formula>
    </cfRule>
  </conditionalFormatting>
  <conditionalFormatting sqref="B51 B50:Z50">
    <cfRule type="containsText" dxfId="557" priority="281" operator="containsText" text="　※事業区分／申請者区分（該当区分をⅠ～Ⅴの中から１つのみ選択して「○」印をつけてください">
      <formula>NOT(ISERROR(SEARCH("　※事業区分／申請者区分（該当区分をⅠ～Ⅴの中から１つのみ選択して「○」印をつけてください",B50)))</formula>
    </cfRule>
  </conditionalFormatting>
  <conditionalFormatting sqref="B52">
    <cfRule type="containsText" dxfId="556" priority="96" operator="containsText" text="　※事業区分／申請者区分（該当区分をＡ～Ｅの中から１つのみ選択して「○」印をつけてください">
      <formula>NOT(ISERROR(SEARCH("　※事業区分／申請者区分（該当区分をＡ～Ｅの中から１つのみ選択して「○」印をつけてください",B52)))</formula>
    </cfRule>
  </conditionalFormatting>
  <conditionalFormatting sqref="B56">
    <cfRule type="expression" dxfId="555" priority="37">
      <formula>OR($B$56="α",$B$56="β")</formula>
    </cfRule>
    <cfRule type="expression" dxfId="554" priority="38">
      <formula>OR($B$30="○",$B$31="○",$B$32="○",$B$34="○",$B$35="○",$B$36="○",$B$39="○",$B$40="○",$B$44="○",$B$45="○",$B$47="○",$B$48="○")</formula>
    </cfRule>
  </conditionalFormatting>
  <conditionalFormatting sqref="B145:B148">
    <cfRule type="expression" dxfId="553" priority="150">
      <formula>AND($E$140="○",$B$145="")</formula>
    </cfRule>
  </conditionalFormatting>
  <conditionalFormatting sqref="B185">
    <cfRule type="expression" dxfId="552" priority="53">
      <formula>AND(B183="○",B185="")</formula>
    </cfRule>
    <cfRule type="expression" dxfId="551" priority="54">
      <formula>AND(B181="○",B185="")</formula>
    </cfRule>
  </conditionalFormatting>
  <conditionalFormatting sqref="B57:C57">
    <cfRule type="expression" dxfId="550" priority="34">
      <formula>OR(B56="α",B56="β")</formula>
    </cfRule>
    <cfRule type="expression" dxfId="549" priority="35">
      <formula>B57="↑選択必須"</formula>
    </cfRule>
  </conditionalFormatting>
  <conditionalFormatting sqref="B58:C58">
    <cfRule type="expression" dxfId="548" priority="27">
      <formula>B58="↑選択不可"</formula>
    </cfRule>
  </conditionalFormatting>
  <conditionalFormatting sqref="B51:Z51">
    <cfRule type="containsText" dxfId="547" priority="93" operator="containsText" text="　※［イノベーション］区分の支援テーマの選択不備又は新事業活動区分の選択不備">
      <formula>NOT(ISERROR(SEARCH("　※［イノベーション］区分の支援テーマの選択不備又は新事業活動区分の選択不備",B51)))</formula>
    </cfRule>
  </conditionalFormatting>
  <conditionalFormatting sqref="B51:Z52">
    <cfRule type="containsText" dxfId="546" priority="95" operator="containsText" text="　※支援テーマの選択不備又は新事業活動区分は選択できません">
      <formula>NOT(ISERROR(SEARCH("　※支援テーマの選択不備又は新事業活動区分は選択できません",B51)))</formula>
    </cfRule>
  </conditionalFormatting>
  <conditionalFormatting sqref="B52:Z52">
    <cfRule type="containsText" dxfId="545" priority="94" operator="containsText" text="　※［ＤＸ推進］区分の技術分野の選択不備">
      <formula>NOT(ISERROR(SEARCH("　※［ＤＸ推進］区分の技術分野の選択不備",B52)))</formula>
    </cfRule>
  </conditionalFormatting>
  <conditionalFormatting sqref="C29:D29">
    <cfRule type="expression" dxfId="544" priority="135">
      <formula>OR($B$29="○",$B$30="○",$B$31="○",$B$32="○",$B$33="○",$B$34="○",$B$35="○",$B$36="○",$B$37="○")</formula>
    </cfRule>
  </conditionalFormatting>
  <conditionalFormatting sqref="C38:D38">
    <cfRule type="expression" dxfId="543" priority="138">
      <formula>OR($B$38="○",$B$39="○",$B$40="○")</formula>
    </cfRule>
  </conditionalFormatting>
  <conditionalFormatting sqref="C145:D148">
    <cfRule type="expression" dxfId="542" priority="149">
      <formula>AND($E$140="○",$C$145="")</formula>
    </cfRule>
  </conditionalFormatting>
  <conditionalFormatting sqref="C116:F119">
    <cfRule type="expression" dxfId="541" priority="231">
      <formula>$C$116=""</formula>
    </cfRule>
  </conditionalFormatting>
  <conditionalFormatting sqref="C97:G101">
    <cfRule type="expression" dxfId="540" priority="248">
      <formula>$C$97=""</formula>
    </cfRule>
  </conditionalFormatting>
  <conditionalFormatting sqref="C126:G131">
    <cfRule type="expression" dxfId="539" priority="225">
      <formula>$C$126=""</formula>
    </cfRule>
  </conditionalFormatting>
  <conditionalFormatting sqref="C43:I45">
    <cfRule type="expression" dxfId="538" priority="11">
      <formula>OR($B$43="○",$B$44="○",$B$45="○")</formula>
    </cfRule>
  </conditionalFormatting>
  <conditionalFormatting sqref="C46:I46">
    <cfRule type="expression" dxfId="537" priority="89">
      <formula>OR($B$46="○",$B$47="○",$B$48="○")</formula>
    </cfRule>
  </conditionalFormatting>
  <conditionalFormatting sqref="C11:J12">
    <cfRule type="expression" dxfId="536" priority="22">
      <formula>C11="※未記入／未選択または不備の個所があります。見直し・確認をお願いします"</formula>
    </cfRule>
  </conditionalFormatting>
  <conditionalFormatting sqref="C107:J109">
    <cfRule type="expression" dxfId="535" priority="243">
      <formula>$C$107=""</formula>
    </cfRule>
  </conditionalFormatting>
  <conditionalFormatting sqref="C49:N49">
    <cfRule type="expression" dxfId="534" priority="1">
      <formula>$B$49="○"</formula>
    </cfRule>
  </conditionalFormatting>
  <conditionalFormatting sqref="C112:R112">
    <cfRule type="expression" dxfId="533" priority="19">
      <formula>$K$112=""</formula>
    </cfRule>
  </conditionalFormatting>
  <conditionalFormatting sqref="D55">
    <cfRule type="expression" dxfId="532" priority="23">
      <formula>IF(OR(B57="↑選択必須"),(B56=""))</formula>
    </cfRule>
    <cfRule type="expression" dxfId="531" priority="26">
      <formula>B58="↑選択不可"</formula>
    </cfRule>
  </conditionalFormatting>
  <conditionalFormatting sqref="D166">
    <cfRule type="expression" dxfId="530" priority="80">
      <formula>AND(D166="",D169="")</formula>
    </cfRule>
  </conditionalFormatting>
  <conditionalFormatting sqref="D169">
    <cfRule type="expression" dxfId="529" priority="79">
      <formula>AND(D166="",D169="")</formula>
    </cfRule>
  </conditionalFormatting>
  <conditionalFormatting sqref="D152:I159">
    <cfRule type="expression" dxfId="528" priority="87">
      <formula>D152=""</formula>
    </cfRule>
  </conditionalFormatting>
  <conditionalFormatting sqref="D42:K42">
    <cfRule type="expression" dxfId="527" priority="106">
      <formula>$D$42="○"</formula>
    </cfRule>
  </conditionalFormatting>
  <conditionalFormatting sqref="D65:AA65">
    <cfRule type="containsText" dxfId="526" priority="115" operator="containsText" text="申請者区分の「小規模企業者」の条件を満たしません；申請者区分の見直しをお願いします。">
      <formula>NOT(ISERROR(SEARCH("申請者区分の「小規模企業者」の条件を満たしません；申請者区分の見直しをお願いします。",D65)))</formula>
    </cfRule>
  </conditionalFormatting>
  <conditionalFormatting sqref="E140">
    <cfRule type="expression" dxfId="525" priority="218">
      <formula>AND($E$140="",$S$140="")</formula>
    </cfRule>
  </conditionalFormatting>
  <conditionalFormatting sqref="E94:F94">
    <cfRule type="expression" dxfId="524" priority="169">
      <formula>$Y$95="未入力"</formula>
    </cfRule>
  </conditionalFormatting>
  <conditionalFormatting sqref="E145:H148">
    <cfRule type="expression" dxfId="523" priority="148">
      <formula>AND($E$140="○",$E$145="")</formula>
    </cfRule>
  </conditionalFormatting>
  <conditionalFormatting sqref="E87:J87">
    <cfRule type="expression" dxfId="522" priority="256">
      <formula>$E$87=""</formula>
    </cfRule>
  </conditionalFormatting>
  <conditionalFormatting sqref="E79:M79">
    <cfRule type="expression" dxfId="521" priority="266">
      <formula>$E$79=""</formula>
    </cfRule>
  </conditionalFormatting>
  <conditionalFormatting sqref="E78:R78">
    <cfRule type="expression" dxfId="520" priority="268">
      <formula>$E$78=""</formula>
    </cfRule>
  </conditionalFormatting>
  <conditionalFormatting sqref="E81:T81">
    <cfRule type="expression" dxfId="519" priority="262">
      <formula>$E$81=""</formula>
    </cfRule>
  </conditionalFormatting>
  <conditionalFormatting sqref="F80:L80">
    <cfRule type="expression" dxfId="517" priority="263">
      <formula>$F$80=""</formula>
    </cfRule>
  </conditionalFormatting>
  <conditionalFormatting sqref="F83:L83">
    <cfRule type="expression" dxfId="516" priority="598">
      <formula>AND($AK$195=FALSE,$F$83="")</formula>
    </cfRule>
  </conditionalFormatting>
  <conditionalFormatting sqref="G116:K119">
    <cfRule type="expression" dxfId="515" priority="230">
      <formula>$G$116=""</formula>
    </cfRule>
  </conditionalFormatting>
  <conditionalFormatting sqref="H61:N61">
    <cfRule type="expression" dxfId="514" priority="270">
      <formula>$H$61=""</formula>
    </cfRule>
  </conditionalFormatting>
  <conditionalFormatting sqref="H126:O131">
    <cfRule type="expression" dxfId="513" priority="224">
      <formula>$H$126=""</formula>
    </cfRule>
  </conditionalFormatting>
  <conditionalFormatting sqref="H97:P101">
    <cfRule type="expression" dxfId="512" priority="247">
      <formula>$H$97=""</formula>
    </cfRule>
  </conditionalFormatting>
  <conditionalFormatting sqref="H85:T86">
    <cfRule type="expression" dxfId="511" priority="58">
      <formula>H85=""</formula>
    </cfRule>
  </conditionalFormatting>
  <conditionalFormatting sqref="I29:I31">
    <cfRule type="expression" dxfId="510" priority="134">
      <formula>OR($B$29="○",$B$30="○",$B$31="○",$B$32="○")</formula>
    </cfRule>
  </conditionalFormatting>
  <conditionalFormatting sqref="I33:I36">
    <cfRule type="expression" dxfId="509" priority="45">
      <formula>OR($B$33="○",$B$34="○",$B$35="○",$B$36="○")</formula>
    </cfRule>
  </conditionalFormatting>
  <conditionalFormatting sqref="I38">
    <cfRule type="expression" dxfId="508" priority="137">
      <formula>OR($B$38="○",$B$39="○",$B$40="○")</formula>
    </cfRule>
  </conditionalFormatting>
  <conditionalFormatting sqref="I62">
    <cfRule type="expression" dxfId="507" priority="269">
      <formula>$I$62=""</formula>
    </cfRule>
  </conditionalFormatting>
  <conditionalFormatting sqref="I82 E84:T84">
    <cfRule type="expression" dxfId="506" priority="596">
      <formula>AND($AK$195=FALSE,$E$84="")</formula>
    </cfRule>
  </conditionalFormatting>
  <conditionalFormatting sqref="I145:M148">
    <cfRule type="expression" dxfId="505" priority="147">
      <formula>AND($E$140="○",$I$145="")</formula>
    </cfRule>
  </conditionalFormatting>
  <conditionalFormatting sqref="I37:N37">
    <cfRule type="expression" dxfId="504" priority="3">
      <formula>$B$37="○"</formula>
    </cfRule>
  </conditionalFormatting>
  <conditionalFormatting sqref="J64">
    <cfRule type="expression" dxfId="503" priority="197">
      <formula>$I$62=""</formula>
    </cfRule>
  </conditionalFormatting>
  <conditionalFormatting sqref="J88:K88">
    <cfRule type="expression" dxfId="502" priority="253">
      <formula>E87=""</formula>
    </cfRule>
  </conditionalFormatting>
  <conditionalFormatting sqref="J29:N29">
    <cfRule type="expression" dxfId="501" priority="41">
      <formula>OR($B$29="○")</formula>
    </cfRule>
  </conditionalFormatting>
  <conditionalFormatting sqref="J30:N30">
    <cfRule type="expression" dxfId="500" priority="42">
      <formula>OR($B$30="○")</formula>
    </cfRule>
  </conditionalFormatting>
  <conditionalFormatting sqref="J31:N31">
    <cfRule type="expression" dxfId="499" priority="17">
      <formula>OR($B$31="○")</formula>
    </cfRule>
  </conditionalFormatting>
  <conditionalFormatting sqref="J32:N32">
    <cfRule type="expression" dxfId="498" priority="21">
      <formula>OR($B$32="○")</formula>
    </cfRule>
  </conditionalFormatting>
  <conditionalFormatting sqref="J33:N33">
    <cfRule type="expression" dxfId="497" priority="40">
      <formula>OR($B$33="○")</formula>
    </cfRule>
  </conditionalFormatting>
  <conditionalFormatting sqref="J34:N34">
    <cfRule type="expression" dxfId="496" priority="15">
      <formula>OR($B$34="○")</formula>
    </cfRule>
  </conditionalFormatting>
  <conditionalFormatting sqref="J35:N35">
    <cfRule type="expression" dxfId="495" priority="39">
      <formula>OR($B$35="○")</formula>
    </cfRule>
  </conditionalFormatting>
  <conditionalFormatting sqref="J36:N36">
    <cfRule type="expression" dxfId="494" priority="20">
      <formula>OR($B$36="○")</formula>
    </cfRule>
  </conditionalFormatting>
  <conditionalFormatting sqref="J38:N38">
    <cfRule type="expression" dxfId="493" priority="14">
      <formula>OR($B$38="○")</formula>
    </cfRule>
  </conditionalFormatting>
  <conditionalFormatting sqref="J39:N39">
    <cfRule type="expression" dxfId="492" priority="13">
      <formula>OR($B$39="○")</formula>
    </cfRule>
  </conditionalFormatting>
  <conditionalFormatting sqref="J40:N40">
    <cfRule type="expression" dxfId="491" priority="12">
      <formula>OR($B$40="○")</formula>
    </cfRule>
  </conditionalFormatting>
  <conditionalFormatting sqref="J43:N43">
    <cfRule type="expression" dxfId="490" priority="10">
      <formula>$B$43="○"</formula>
    </cfRule>
  </conditionalFormatting>
  <conditionalFormatting sqref="J44:N44">
    <cfRule type="expression" dxfId="489" priority="9">
      <formula>$B$44="○"</formula>
    </cfRule>
  </conditionalFormatting>
  <conditionalFormatting sqref="J45:N45">
    <cfRule type="expression" dxfId="488" priority="8">
      <formula>$B$45="○"</formula>
    </cfRule>
  </conditionalFormatting>
  <conditionalFormatting sqref="J46:N46">
    <cfRule type="expression" dxfId="487" priority="7">
      <formula>$B$46="○"</formula>
    </cfRule>
  </conditionalFormatting>
  <conditionalFormatting sqref="J47:N47">
    <cfRule type="expression" dxfId="486" priority="6">
      <formula>$B$47="○"</formula>
    </cfRule>
  </conditionalFormatting>
  <conditionalFormatting sqref="J48:N48">
    <cfRule type="expression" dxfId="485" priority="2">
      <formula>$B$48="○"</formula>
    </cfRule>
  </conditionalFormatting>
  <conditionalFormatting sqref="J161:AA161">
    <cfRule type="expression" dxfId="484" priority="84">
      <formula>J161=""</formula>
    </cfRule>
  </conditionalFormatting>
  <conditionalFormatting sqref="K107:L109">
    <cfRule type="expression" dxfId="483" priority="242">
      <formula>$K$107=""</formula>
    </cfRule>
  </conditionalFormatting>
  <conditionalFormatting sqref="K166:L166">
    <cfRule type="expression" dxfId="482" priority="78">
      <formula>AND(D166="○",K166="",K167="")</formula>
    </cfRule>
  </conditionalFormatting>
  <conditionalFormatting sqref="K167:L167">
    <cfRule type="expression" dxfId="481" priority="72">
      <formula>AND(D166="○",K166="",K167="")</formula>
    </cfRule>
  </conditionalFormatting>
  <conditionalFormatting sqref="K170:L170">
    <cfRule type="expression" dxfId="480" priority="69">
      <formula>AND(D169="○",K170="",M171="")</formula>
    </cfRule>
  </conditionalFormatting>
  <conditionalFormatting sqref="K160:O160">
    <cfRule type="expression" dxfId="478" priority="86">
      <formula>K160=""</formula>
    </cfRule>
  </conditionalFormatting>
  <conditionalFormatting sqref="K169:Z169">
    <cfRule type="expression" dxfId="477" priority="75">
      <formula>AND($F$170=TRUE,$K$169="")</formula>
    </cfRule>
    <cfRule type="expression" dxfId="476" priority="70">
      <formula>AND(D169="○",K169="")</formula>
    </cfRule>
  </conditionalFormatting>
  <conditionalFormatting sqref="L116:N119">
    <cfRule type="expression" dxfId="475" priority="229">
      <formula>$L$116=""</formula>
    </cfRule>
  </conditionalFormatting>
  <conditionalFormatting sqref="L42:R42">
    <cfRule type="expression" dxfId="474" priority="603">
      <formula>$L$42="○"</formula>
    </cfRule>
  </conditionalFormatting>
  <conditionalFormatting sqref="M153">
    <cfRule type="expression" dxfId="473" priority="82">
      <formula>AND(M153="",M154="")</formula>
    </cfRule>
  </conditionalFormatting>
  <conditionalFormatting sqref="M154">
    <cfRule type="expression" dxfId="472" priority="83">
      <formula>$M$154=TRUE</formula>
    </cfRule>
    <cfRule type="expression" dxfId="471" priority="81">
      <formula>AND(M153="",M154="")</formula>
    </cfRule>
  </conditionalFormatting>
  <conditionalFormatting sqref="M171:N171">
    <cfRule type="expression" dxfId="470" priority="68">
      <formula>AND(D169="○",K170="",M171="")</formula>
    </cfRule>
    <cfRule type="expression" dxfId="469" priority="76">
      <formula>AND($F$170=TRUE,$K$170="",$M$171="")</formula>
    </cfRule>
  </conditionalFormatting>
  <conditionalFormatting sqref="M107:U109">
    <cfRule type="expression" dxfId="468" priority="241">
      <formula>$M$107=""</formula>
    </cfRule>
  </conditionalFormatting>
  <conditionalFormatting sqref="N64">
    <cfRule type="expression" dxfId="467" priority="196">
      <formula>$I$62=""</formula>
    </cfRule>
  </conditionalFormatting>
  <conditionalFormatting sqref="N155">
    <cfRule type="expression" dxfId="466" priority="74">
      <formula>AND(M154="○",N155="")</formula>
    </cfRule>
  </conditionalFormatting>
  <conditionalFormatting sqref="N156">
    <cfRule type="expression" dxfId="465" priority="73">
      <formula>AND(M154="○",N156="")</formula>
    </cfRule>
  </conditionalFormatting>
  <conditionalFormatting sqref="N166">
    <cfRule type="expression" dxfId="464" priority="77">
      <formula>AND(D166="○",K166&lt;&gt;"",N166="")</formula>
    </cfRule>
  </conditionalFormatting>
  <conditionalFormatting sqref="N167">
    <cfRule type="expression" dxfId="463" priority="71">
      <formula>AND(D166="○",K167&lt;&gt;"",N167="")</formula>
    </cfRule>
  </conditionalFormatting>
  <conditionalFormatting sqref="N170">
    <cfRule type="expression" dxfId="462" priority="67">
      <formula>AND(D169="○",K170&lt;&gt;"",N170="")</formula>
    </cfRule>
  </conditionalFormatting>
  <conditionalFormatting sqref="N185">
    <cfRule type="containsText" dxfId="461" priority="280" operator="containsText" text="資料の提出が必要です：申請書と一緒に提出ください">
      <formula>NOT(ISERROR(SEARCH("資料の提出が必要です：申請書と一緒に提出ください",N185)))</formula>
    </cfRule>
  </conditionalFormatting>
  <conditionalFormatting sqref="N145:R148">
    <cfRule type="expression" dxfId="460" priority="146">
      <formula>AND($E$140="○",$N$145="")</formula>
    </cfRule>
  </conditionalFormatting>
  <conditionalFormatting sqref="O41:Y41">
    <cfRule type="containsText" dxfId="458" priority="113" operator="containsText" text="テーマの選択不備 ①～⑱の中から１つ選択ください">
      <formula>NOT(ISERROR(SEARCH("テーマの選択不備 ①～⑱の中から１つ選択ください",O41)))</formula>
    </cfRule>
    <cfRule type="containsText" dxfId="457" priority="102" operator="containsText" text="技術区分の選択不備 ①～③の中から１つ選択ください">
      <formula>NOT(ISERROR(SEARCH("技術区分の選択不備 ①～③の中から１つ選択ください",O41)))</formula>
    </cfRule>
    <cfRule type="containsText" dxfId="456" priority="112" operator="containsText" text="テーマの選択不備 ①～⑨の中から１つ選択ください">
      <formula>NOT(ISERROR(SEARCH("テーマの選択不備 ①～⑨の中から１つ選択ください",O41)))</formula>
    </cfRule>
  </conditionalFormatting>
  <conditionalFormatting sqref="O62:AA62">
    <cfRule type="expression" dxfId="455" priority="198">
      <formula>$I$62=""</formula>
    </cfRule>
  </conditionalFormatting>
  <conditionalFormatting sqref="O77:AA77">
    <cfRule type="containsText" dxfId="454" priority="51" operator="containsText" text="※ ソフトウエアＢは [ＤＸ推進] 区分のみ購入可能です／修正ください！">
      <formula>NOT(ISERROR(SEARCH("※ ソフトウエアＢは [ＤＸ推進] 区分のみ購入可能です／修正ください！",O77)))</formula>
    </cfRule>
  </conditionalFormatting>
  <conditionalFormatting sqref="P171">
    <cfRule type="expression" dxfId="453" priority="64">
      <formula>AND(D169="○",M171&lt;&gt;"",P171="")</formula>
    </cfRule>
  </conditionalFormatting>
  <conditionalFormatting sqref="P126:R131">
    <cfRule type="expression" dxfId="452" priority="223">
      <formula>$P$126=""</formula>
    </cfRule>
  </conditionalFormatting>
  <conditionalFormatting sqref="P116:S119">
    <cfRule type="expression" dxfId="451" priority="228">
      <formula>$C$116=""</formula>
    </cfRule>
  </conditionalFormatting>
  <conditionalFormatting sqref="P87:T87">
    <cfRule type="expression" dxfId="450" priority="255">
      <formula>$P$87=""</formula>
    </cfRule>
  </conditionalFormatting>
  <conditionalFormatting sqref="P79:V79">
    <cfRule type="expression" dxfId="449" priority="265">
      <formula>$P$79=""</formula>
    </cfRule>
  </conditionalFormatting>
  <conditionalFormatting sqref="P64:AA64">
    <cfRule type="containsText" dxfId="448" priority="288" operator="containsText" text="大分類と中分類のｶﾃｺﾞﾘｰ不一致：分類を見直して修正ください">
      <formula>NOT(ISERROR(SEARCH("大分類と中分類のｶﾃｺﾞﾘｰ不一致：分類を見直して修正ください",P64)))</formula>
    </cfRule>
  </conditionalFormatting>
  <conditionalFormatting sqref="Q97:S102">
    <cfRule type="expression" dxfId="447" priority="246">
      <formula>$Q$103="未入力"</formula>
    </cfRule>
  </conditionalFormatting>
  <conditionalFormatting sqref="Q103:S103">
    <cfRule type="expression" dxfId="446" priority="166">
      <formula>$Q$103="未入力"</formula>
    </cfRule>
  </conditionalFormatting>
  <conditionalFormatting sqref="Q104:V104">
    <cfRule type="expression" dxfId="445" priority="163">
      <formula>$Q$104="未入力"</formula>
    </cfRule>
  </conditionalFormatting>
  <conditionalFormatting sqref="Q13:Y13">
    <cfRule type="expression" dxfId="444" priority="63">
      <formula>$E$79=""</formula>
    </cfRule>
  </conditionalFormatting>
  <conditionalFormatting sqref="Q11:AA11">
    <cfRule type="expression" dxfId="443" priority="203">
      <formula>$E$81=""</formula>
    </cfRule>
  </conditionalFormatting>
  <conditionalFormatting sqref="Q12:AA12">
    <cfRule type="expression" dxfId="442" priority="202">
      <formula>$E$78=""</formula>
    </cfRule>
  </conditionalFormatting>
  <conditionalFormatting sqref="R170:S170">
    <cfRule type="expression" dxfId="441" priority="66">
      <formula>AND(D169="○",K170&lt;&gt;"",R170="")</formula>
    </cfRule>
  </conditionalFormatting>
  <conditionalFormatting sqref="R10:W10">
    <cfRule type="expression" dxfId="440" priority="204">
      <formula>$F$80=""</formula>
    </cfRule>
  </conditionalFormatting>
  <conditionalFormatting sqref="S42 L42 D42">
    <cfRule type="expression" dxfId="439" priority="613">
      <formula>AND(OR($B$38="○",$B$39="○",$B$40="○"),$D$42="",$S$42="",$L$42="",#REF!="")</formula>
    </cfRule>
  </conditionalFormatting>
  <conditionalFormatting sqref="S140">
    <cfRule type="expression" dxfId="438" priority="217">
      <formula>AND($E$140="",$S$140="")</formula>
    </cfRule>
  </conditionalFormatting>
  <conditionalFormatting sqref="S112:U112">
    <cfRule type="expression" dxfId="437" priority="233">
      <formula>$S$112=""</formula>
    </cfRule>
  </conditionalFormatting>
  <conditionalFormatting sqref="S126:U132">
    <cfRule type="expression" dxfId="436" priority="222">
      <formula>$S$126=""</formula>
    </cfRule>
  </conditionalFormatting>
  <conditionalFormatting sqref="S133:U133">
    <cfRule type="expression" dxfId="435" priority="162">
      <formula>$S$133=0</formula>
    </cfRule>
  </conditionalFormatting>
  <conditionalFormatting sqref="S145:U148">
    <cfRule type="expression" dxfId="434" priority="145">
      <formula>AND($E$140="○",$S$145="")</formula>
    </cfRule>
  </conditionalFormatting>
  <conditionalFormatting sqref="S42:Y42">
    <cfRule type="expression" dxfId="433" priority="606">
      <formula>$S$42="○"</formula>
    </cfRule>
  </conditionalFormatting>
  <conditionalFormatting sqref="T88:V88">
    <cfRule type="expression" dxfId="432" priority="252">
      <formula>T88=""</formula>
    </cfRule>
  </conditionalFormatting>
  <conditionalFormatting sqref="T116:X119">
    <cfRule type="expression" dxfId="431" priority="227">
      <formula>$G$116=""</formula>
    </cfRule>
  </conditionalFormatting>
  <conditionalFormatting sqref="U170">
    <cfRule type="expression" dxfId="430" priority="65">
      <formula>AND(D169="○",K170&lt;&gt;"",U170="")</formula>
    </cfRule>
  </conditionalFormatting>
  <conditionalFormatting sqref="U97:V102">
    <cfRule type="expression" dxfId="429" priority="165">
      <formula>$U$103="未入力"</formula>
    </cfRule>
    <cfRule type="expression" priority="245">
      <formula>$U$97=""</formula>
    </cfRule>
  </conditionalFormatting>
  <conditionalFormatting sqref="U103:V103">
    <cfRule type="expression" dxfId="428" priority="164">
      <formula>$U$103="未入力"</formula>
    </cfRule>
  </conditionalFormatting>
  <conditionalFormatting sqref="U78:AA78">
    <cfRule type="expression" dxfId="427" priority="267">
      <formula>$U$78=""</formula>
    </cfRule>
  </conditionalFormatting>
  <conditionalFormatting sqref="V5">
    <cfRule type="expression" dxfId="426" priority="276">
      <formula>$V$5=""</formula>
    </cfRule>
  </conditionalFormatting>
  <conditionalFormatting sqref="V87:W87">
    <cfRule type="expression" dxfId="425" priority="254">
      <formula>V87=""</formula>
    </cfRule>
  </conditionalFormatting>
  <conditionalFormatting sqref="V68:Z71">
    <cfRule type="containsText" dxfId="422" priority="31" operator="containsText" text="ｿﾌﾄｳｪｱ申請額下限額未満；見直し要">
      <formula>NOT(ISERROR(SEARCH("ｿﾌﾄｳｪｱ申請額下限額未満；見直し要",V68)))</formula>
    </cfRule>
  </conditionalFormatting>
  <conditionalFormatting sqref="V69:Z69">
    <cfRule type="expression" dxfId="421" priority="28">
      <formula>V69="該当なし"</formula>
    </cfRule>
  </conditionalFormatting>
  <conditionalFormatting sqref="V70:Z70">
    <cfRule type="expression" dxfId="420" priority="29">
      <formula>V70="該当なし"</formula>
    </cfRule>
  </conditionalFormatting>
  <conditionalFormatting sqref="V107:AA109">
    <cfRule type="expression" dxfId="419" priority="240">
      <formula>$V$107=""</formula>
    </cfRule>
  </conditionalFormatting>
  <conditionalFormatting sqref="W145:X148">
    <cfRule type="expression" dxfId="418" priority="144">
      <formula>AND($E$140="○",$W$145="")</formula>
    </cfRule>
  </conditionalFormatting>
  <conditionalFormatting sqref="W126:Y133">
    <cfRule type="expression" dxfId="417" priority="160">
      <formula>$S$126=""</formula>
    </cfRule>
  </conditionalFormatting>
  <conditionalFormatting sqref="W80:AA81">
    <cfRule type="expression" dxfId="416" priority="261">
      <formula>$W$80=""</formula>
    </cfRule>
  </conditionalFormatting>
  <conditionalFormatting sqref="W85:AA85">
    <cfRule type="expression" dxfId="415" priority="259">
      <formula>$W$85=""</formula>
    </cfRule>
  </conditionalFormatting>
  <conditionalFormatting sqref="W86:AA86">
    <cfRule type="expression" dxfId="414" priority="257">
      <formula>$W$86=""</formula>
    </cfRule>
  </conditionalFormatting>
  <conditionalFormatting sqref="X5">
    <cfRule type="expression" dxfId="413" priority="273">
      <formula>$X$5=""</formula>
    </cfRule>
  </conditionalFormatting>
  <conditionalFormatting sqref="X88">
    <cfRule type="expression" dxfId="412" priority="251">
      <formula>X88=""</formula>
    </cfRule>
  </conditionalFormatting>
  <conditionalFormatting sqref="X61:Z61">
    <cfRule type="expression" dxfId="410" priority="200">
      <formula>X61=0</formula>
    </cfRule>
  </conditionalFormatting>
  <conditionalFormatting sqref="X112:Z112">
    <cfRule type="expression" dxfId="409" priority="232">
      <formula>$X$112=""</formula>
    </cfRule>
  </conditionalFormatting>
  <conditionalFormatting sqref="X97:AA102">
    <cfRule type="expression" dxfId="408" priority="244">
      <formula>$X$97=""</formula>
    </cfRule>
  </conditionalFormatting>
  <conditionalFormatting sqref="X104:AA104">
    <cfRule type="containsText" dxfId="407" priority="296" operator="containsText" text="不一致 NG">
      <formula>NOT(ISERROR(SEARCH("不一致 NG",X104)))</formula>
    </cfRule>
  </conditionalFormatting>
  <conditionalFormatting sqref="X158:AA158">
    <cfRule type="containsText" dxfId="406" priority="88" operator="containsText" text="都外設置NG">
      <formula>NOT(ISERROR(SEARCH("都外設置NG",X158)))</formula>
    </cfRule>
  </conditionalFormatting>
  <conditionalFormatting sqref="Y79:Z79">
    <cfRule type="expression" dxfId="405" priority="264">
      <formula>$Y$79=""</formula>
    </cfRule>
  </conditionalFormatting>
  <conditionalFormatting sqref="Y89:Z94">
    <cfRule type="expression" dxfId="404" priority="167">
      <formula>$Y$95="未入力"</formula>
    </cfRule>
  </conditionalFormatting>
  <conditionalFormatting sqref="Y95:Z95">
    <cfRule type="expression" dxfId="403" priority="168">
      <formula>$Y$95="未入力"</formula>
    </cfRule>
  </conditionalFormatting>
  <conditionalFormatting sqref="Y116:AA119">
    <cfRule type="expression" dxfId="402" priority="226">
      <formula>$L$116=""</formula>
    </cfRule>
  </conditionalFormatting>
  <conditionalFormatting sqref="Z5">
    <cfRule type="expression" dxfId="401" priority="272">
      <formula>$Z$5=""</formula>
    </cfRule>
  </conditionalFormatting>
  <conditionalFormatting sqref="Z88">
    <cfRule type="expression" dxfId="400" priority="250">
      <formula>Z88=""</formula>
    </cfRule>
  </conditionalFormatting>
  <conditionalFormatting sqref="Z145:Z148">
    <cfRule type="expression" dxfId="399" priority="143">
      <formula>AND($E$140="○",$Z$145="")</formula>
    </cfRule>
  </conditionalFormatting>
  <conditionalFormatting sqref="Z126:AA132">
    <cfRule type="expression" dxfId="398" priority="151">
      <formula>AND(S126&lt;&gt;"",Z126="")</formula>
    </cfRule>
  </conditionalFormatting>
  <conditionalFormatting sqref="AA23">
    <cfRule type="cellIs" dxfId="397" priority="60" operator="greaterThan">
      <formula>40</formula>
    </cfRule>
  </conditionalFormatting>
  <conditionalFormatting sqref="AA68">
    <cfRule type="containsText" dxfId="396" priority="50" operator="containsText" text="ｿﾌﾄｳｪｱ申請額下限額未満；見直し要">
      <formula>NOT(ISERROR(SEARCH("ｿﾌﾄｳｪｱ申請額下限額未満；見直し要",AA68)))</formula>
    </cfRule>
  </conditionalFormatting>
  <conditionalFormatting sqref="AA82 W84:AA84">
    <cfRule type="expression" dxfId="395" priority="599">
      <formula>AND($AL$195=FALSE,$W$84="")</formula>
    </cfRule>
  </conditionalFormatting>
  <dataValidations xWindow="73" yWindow="1094" count="39">
    <dataValidation type="textLength" imeMode="on" operator="lessThanOrEqual" allowBlank="1" showInputMessage="1" showErrorMessage="1" errorTitle="文字数超過" error="40文字以下で入力してください" promptTitle="40字以下で簡潔に分かり易テーマ名を記載してください" prompt="採択時には公表されます" sqref="AA23" xr:uid="{00000000-0002-0000-0100-000000000000}">
      <formula1>40</formula1>
    </dataValidation>
    <dataValidation type="list" allowBlank="1" showInputMessage="1" showErrorMessage="1" promptTitle="和暦で「年」の該当数字を選択してください" prompt="ドロップダウンリストから選択できます ▼" sqref="V5" xr:uid="{00000000-0002-0000-0100-000001000000}">
      <formula1>$AD$4:$AD$9</formula1>
    </dataValidation>
    <dataValidation type="list" allowBlank="1" showInputMessage="1" showErrorMessage="1" promptTitle="「月」の該当数字を選択してください" prompt="ドロップダウンリストから選択できます ▼_x000a_提出日を選択してください" sqref="X5" xr:uid="{00000000-0002-0000-0100-000002000000}">
      <formula1>$AE$4:$AE$16</formula1>
    </dataValidation>
    <dataValidation type="list" allowBlank="1" showInputMessage="1" showErrorMessage="1" promptTitle="区分を１つ選択して「〇」印を付す" prompt="ドロップダウンリストから選択できます ▼_x000a__x000a_「ｲﾉﾍﾞｰｼｮﾝ」区分を選択した場合は①～⑨の中から産業分野を１つ選択し「〇」印を付す：　ドロップダウンリストから選択できます ▼" sqref="B43:B45" xr:uid="{00000000-0002-0000-0100-000003000000}">
      <formula1>$AD$36:$AD$36</formula1>
    </dataValidation>
    <dataValidation type="list" allowBlank="1" showInputMessage="1" showErrorMessage="1" promptTitle="区分を１つ選択して「〇」印を付す" prompt="ドロップダウンリストから選択できます ▼" sqref="B46:B49 B29" xr:uid="{00000000-0002-0000-0100-000004000000}">
      <formula1>$AD$36:$AD$36</formula1>
    </dataValidation>
    <dataValidation type="list" allowBlank="1" showInputMessage="1" showErrorMessage="1" promptTitle="大企業に該当する場合は「該当」を選択してください" prompt="ドロップダウンリストから選択できます ▼" sqref="Z126:AA132" xr:uid="{00000000-0002-0000-0100-000005000000}">
      <formula1>$AD$136:$AD$139</formula1>
    </dataValidation>
    <dataValidation allowBlank="1" showInputMessage="1" showErrorMessage="1" promptTitle="入力不要" prompt="「６申請者の概要欄」の常用従業員数がカウントされて自動転記（自動反映されます）_x000a_" sqref="X61:Z61" xr:uid="{00000000-0002-0000-0100-000006000000}"/>
    <dataValidation type="list" allowBlank="1" showInputMessage="1" showErrorMessage="1" sqref="B145:B148" xr:uid="{00000000-0002-0000-0100-000007000000}">
      <formula1>$AD$145:$AD$147</formula1>
    </dataValidation>
    <dataValidation allowBlank="1" showInputMessage="1" showErrorMessage="1" promptTitle="入力不要" prompt="「６申請者の概要」欄から転記（自動反映）されます" sqref="R10:W10 Q13:Y13 Q11:AA12" xr:uid="{00000000-0002-0000-0100-000008000000}"/>
    <dataValidation allowBlank="1" showInputMessage="1" showErrorMessage="1" promptTitle="選択不要" prompt="業種コード（２桁）を選択すると自動反映されます" sqref="O62:AA62" xr:uid="{00000000-0002-0000-0100-000009000000}"/>
    <dataValidation allowBlank="1" showInputMessage="1" showErrorMessage="1" promptTitle="入力不要／自動反映" prompt="「Ｂ：小規模企業者」を選択する場合は、提出前にこの欄に「○」印が付与されることを確認ください。_x000a_業種と常用従業員数が入力された後に自動で判定されます。" sqref="J64" xr:uid="{00000000-0002-0000-0100-00000A000000}"/>
    <dataValidation allowBlank="1" showInputMessage="1" showErrorMessage="1" promptTitle="入力不要／自動反映" prompt="業種と常用従業員数が入力された後に自動で判定されます。" sqref="N64" xr:uid="{00000000-0002-0000-0100-00000B000000}"/>
    <dataValidation allowBlank="1" showInputMessage="1" showErrorMessage="1" promptTitle="入力不要" prompt="「資金計画」sheetから転記（自動反映）されます。" sqref="K69:O69 V68:Z71" xr:uid="{00000000-0002-0000-0100-00000C000000}"/>
    <dataValidation allowBlank="1" showInputMessage="1" showErrorMessage="1" promptTitle="入力不要" prompt="「機械設備計画」sheetから転記（自動反映）されます。" sqref="X75:Y76 F75:G75 O75:P75" xr:uid="{00000000-0002-0000-0100-00000D000000}"/>
    <dataValidation allowBlank="1" showInputMessage="1" showErrorMessage="1" promptTitle="入力不要" prompt="常用従業員数の合計人数が自動計算されます。" sqref="Y95:Z95 E94:F94 Q103:S103" xr:uid="{00000000-0002-0000-0100-00000E000000}"/>
    <dataValidation allowBlank="1" showInputMessage="1" showErrorMessage="1" promptTitle="入力不要" prompt="役員数の合計人数が自動計算されます。" sqref="U103:V103" xr:uid="{00000000-0002-0000-0100-00000F000000}"/>
    <dataValidation allowBlank="1" showInputMessage="1" showErrorMessage="1" promptTitle="入力不要" prompt="常用従業員数と役員数の合計から、人数の総合計が自動計算されます。" sqref="Q104:V104" xr:uid="{00000000-0002-0000-0100-000010000000}"/>
    <dataValidation allowBlank="1" showInputMessage="1" showErrorMessage="1" promptTitle="入力不要" prompt="常用従業員数の人数の入力結果が、自動検証されます。" sqref="X104:AA104" xr:uid="{00000000-0002-0000-0100-000011000000}"/>
    <dataValidation type="list" allowBlank="1" showInputMessage="1" showErrorMessage="1" promptTitle="大分類を選択ください" prompt="ドロップダウンリスト ▼から選択できます _x000a__x000a_複数の分類に該当する場合は申請者の主たる(例えば売上規模の大きい)分類を選択ください_x000a_※「日本産業分類」の最新分類に基づいて選択のこと_x000a_※募集要項の末尾に分類一覧リスト掲載" sqref="H61:N61" xr:uid="{00000000-0002-0000-0100-000012000000}">
      <formula1>$U$194:$U$214</formula1>
    </dataValidation>
    <dataValidation type="list" allowBlank="1" showInputMessage="1" showErrorMessage="1" promptTitle="中分類の業種コードを選択ください" prompt="ドロップダウンリスト ▼から選択できます_x000a_ _x000a_業種コードを選択すると「中分類名」は自動反映されます_x000a_※「日本産業分類」の最新分類に基づいて選択のこと_x000a_※募集要項の末尾に分類コードと分類名一覧リスト掲載" sqref="I62" xr:uid="{00000000-0002-0000-0100-000013000000}">
      <formula1>$K$195:$K$306</formula1>
    </dataValidation>
    <dataValidation allowBlank="1" showInputMessage="1" showErrorMessage="1" promptTitle="選択した分類が正しいか誤りかのコメントが表示されます" prompt="選択した大分類と中分類の「ｶﾃｺﾞﾘｰ不一致」というコメントが表示された場合は、分類を見直して正しい分類を選択し直してください。_x000a_募集要項末尾に掲載された「日本標準産業分類」を参照方。" sqref="P64:AA64" xr:uid="{00000000-0002-0000-0100-000014000000}"/>
    <dataValidation type="list" allowBlank="1" showInputMessage="1" showErrorMessage="1" promptTitle="都県を選択してください" prompt="ドロップダウンリスト ▼から選択できます " sqref="J161:L161" xr:uid="{00000000-0002-0000-0100-000015000000}">
      <formula1>$AD$162:$AD$170</formula1>
    </dataValidation>
    <dataValidation type="list" allowBlank="1" showInputMessage="1" showErrorMessage="1" sqref="B181:B185" xr:uid="{00000000-0002-0000-0100-000016000000}">
      <formula1>$AD$61:$AD$62</formula1>
    </dataValidation>
    <dataValidation type="list" allowBlank="1" showInputMessage="1" showErrorMessage="1" sqref="E140" xr:uid="{00000000-0002-0000-0100-000017000000}">
      <formula1>$AD$139:$AD$140</formula1>
    </dataValidation>
    <dataValidation type="list" allowBlank="1" showInputMessage="1" showErrorMessage="1" sqref="S140" xr:uid="{00000000-0002-0000-0100-000018000000}">
      <formula1>$AE$139:$AE$140</formula1>
    </dataValidation>
    <dataValidation type="list" allowBlank="1" showInputMessage="1" showErrorMessage="1" promptTitle="「日」の該当数字を選択してください" prompt="ドロップダウンリストから選択できます ▼_x000a_提出日を選択してください" sqref="Z5" xr:uid="{00000000-0002-0000-0100-000019000000}">
      <formula1>$AF$4:$AF$35</formula1>
    </dataValidation>
    <dataValidation type="list" allowBlank="1" showInputMessage="1" showErrorMessage="1" sqref="D169" xr:uid="{00000000-0002-0000-0100-00001A000000}">
      <formula1>$AE$169:$AF$169</formula1>
    </dataValidation>
    <dataValidation type="list" allowBlank="1" showInputMessage="1" showErrorMessage="1" sqref="D166" xr:uid="{00000000-0002-0000-0100-00001B000000}">
      <formula1>$AE$166:$AF$166</formula1>
    </dataValidation>
    <dataValidation type="list" allowBlank="1" showInputMessage="1" showErrorMessage="1" sqref="N155" xr:uid="{00000000-0002-0000-0100-00001C000000}">
      <formula1>$AE$155:$AF$155</formula1>
    </dataValidation>
    <dataValidation type="list" allowBlank="1" showInputMessage="1" showErrorMessage="1" sqref="N156" xr:uid="{00000000-0002-0000-0100-00001D000000}">
      <formula1>$AE$156:$AF$156</formula1>
    </dataValidation>
    <dataValidation type="list" allowBlank="1" showInputMessage="1" showErrorMessage="1" sqref="M154" xr:uid="{00000000-0002-0000-0100-00001E000000}">
      <formula1>$AE$154:$AF$154</formula1>
    </dataValidation>
    <dataValidation type="list" allowBlank="1" showInputMessage="1" showErrorMessage="1" sqref="M153" xr:uid="{00000000-0002-0000-0100-00001F000000}">
      <formula1>$AE$153:$AF$153</formula1>
    </dataValidation>
    <dataValidation imeMode="on" allowBlank="1" showInputMessage="1" showErrorMessage="1" sqref="E78:R78 E79:M79 E81:T81 E84:T84 K169:Z169 W86:AA86 C97:P101 X97:AA102 C107:J109 M107:AA109 C116:N119 P116:AA119 C126:R131 K134:AA134 M136:V137 E145:R148 D152:I159 D162:R163 I164:AA164 H85:T85 L120:AA121 B136:G137 M161:AA161 K112:R112" xr:uid="{00000000-0002-0000-0100-000020000000}"/>
    <dataValidation imeMode="fullKatakana" allowBlank="1" showInputMessage="1" showErrorMessage="1" sqref="U78:AA78 P79:V79 W85:AA85" xr:uid="{00000000-0002-0000-0100-000021000000}"/>
    <dataValidation imeMode="off" allowBlank="1" showInputMessage="1" showErrorMessage="1" sqref="Y79:Z79 F80:L80 W80:AA81 F83:L83 W84:AA84 C145:D148 E87:K88 P87:Z88 Y89:Z94 Q97:V102 K107:L109 S126:U132 X136:Y137 S145:Z148 H86:T86 K166:N167 K170:U171 E132 K160:O160 X162:Z163 S112:Z112" xr:uid="{00000000-0002-0000-0100-000022000000}"/>
    <dataValidation type="textLength" errorStyle="warning" imeMode="on" operator="lessThanOrEqual" allowBlank="1" showInputMessage="1" showErrorMessage="1" errorTitle="文字数超過" error="40文字以下で入力してください" promptTitle="40字以下で簡潔に分かり易テーマ名を記載してください" prompt="採択時には公表されます" sqref="B23:Z23" xr:uid="{00000000-0002-0000-0100-000023000000}">
      <formula1>40</formula1>
    </dataValidation>
    <dataValidation type="list" allowBlank="1" showInputMessage="1" showErrorMessage="1" promptTitle="ゼロエミ、賃上げ適用を選択した場合は必須" prompt="「ｾﾞﾛｴﾐ」、「賃上げ」適用を選択した場合のみ、本項目を選択してください。" sqref="B56" xr:uid="{00000000-0002-0000-0100-000024000000}">
      <formula1>$AD$55:$AD$57</formula1>
    </dataValidation>
    <dataValidation type="list" allowBlank="1" showInputMessage="1" showErrorMessage="1" sqref="B30:B40" xr:uid="{00000000-0002-0000-0100-000025000000}">
      <formula1>$AD$36:$AD$36</formula1>
    </dataValidation>
    <dataValidation type="list" allowBlank="1" showInputMessage="1" showErrorMessage="1" promptTitle="ＤＸ推進区分を選択した場合は分野を１つ選択し「〇」印付与" prompt="①～③の技術分野の中からドロップダウンリスト ▼で「〇」印を１つ選択してください" sqref="S42 D42 L42" xr:uid="{00000000-0002-0000-0100-000026000000}">
      <formula1>$AD$36:$AD$36</formula1>
    </dataValidation>
  </dataValidations>
  <pageMargins left="0.9055118110236221" right="0.51181102362204722" top="0.55118110236220474" bottom="0.35433070866141736" header="0.31496062992125984" footer="0.11811023622047245"/>
  <pageSetup paperSize="9" scale="62" orientation="portrait" useFirstPageNumber="1" r:id="rId1"/>
  <headerFooter>
    <oddFooter>&amp;C1 - &amp;P</oddFooter>
  </headerFooter>
  <rowBreaks count="2" manualBreakCount="2">
    <brk id="59" min="1" max="27" man="1"/>
    <brk id="138" min="1" max="27" man="1"/>
  </rowBreaks>
  <ignoredErrors>
    <ignoredError sqref="B26 B22 C181:C18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60" r:id="rId4" name="Check Box 12">
              <controlPr locked="0" defaultSize="0" autoFill="0" autoLine="0" autoPict="0">
                <anchor moveWithCells="1">
                  <from>
                    <xdr:col>8</xdr:col>
                    <xdr:colOff>31750</xdr:colOff>
                    <xdr:row>80</xdr:row>
                    <xdr:rowOff>603250</xdr:rowOff>
                  </from>
                  <to>
                    <xdr:col>9</xdr:col>
                    <xdr:colOff>38100</xdr:colOff>
                    <xdr:row>82</xdr:row>
                    <xdr:rowOff>38100</xdr:rowOff>
                  </to>
                </anchor>
              </controlPr>
            </control>
          </mc:Choice>
        </mc:AlternateContent>
        <mc:AlternateContent xmlns:mc="http://schemas.openxmlformats.org/markup-compatibility/2006">
          <mc:Choice Requires="x14">
            <control shapeId="2062" r:id="rId5" name="Check Box 14">
              <controlPr locked="0" defaultSize="0" autoFill="0" autoLine="0" autoPict="0">
                <anchor moveWithCells="1">
                  <from>
                    <xdr:col>25</xdr:col>
                    <xdr:colOff>209550</xdr:colOff>
                    <xdr:row>81</xdr:row>
                    <xdr:rowOff>0</xdr:rowOff>
                  </from>
                  <to>
                    <xdr:col>28</xdr:col>
                    <xdr:colOff>57150</xdr:colOff>
                    <xdr:row>81</xdr:row>
                    <xdr:rowOff>209550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92" id="{DB808C6F-2855-46C0-8FA0-06EA31383D7D}">
            <xm:f>機械設備計画!$P$14=0</xm:f>
            <x14:dxf>
              <fill>
                <patternFill>
                  <bgColor theme="0" tint="-0.14996795556505021"/>
                </patternFill>
              </fill>
            </x14:dxf>
          </x14:cfRule>
          <xm:sqref>F75:G75</xm:sqref>
        </x14:conditionalFormatting>
        <x14:conditionalFormatting xmlns:xm="http://schemas.microsoft.com/office/excel/2006/main">
          <x14:cfRule type="expression" priority="195" id="{26F6F9B7-6FBB-48E9-9139-21A56D07DBDB}">
            <xm:f>資金計画!M24=""</xm:f>
            <x14:dxf/>
          </x14:cfRule>
          <x14:cfRule type="expression" priority="92" id="{DFF63609-93C1-4EAC-A1A3-35D247A0CC19}">
            <xm:f>資金計画!M24=0</xm:f>
            <x14:dxf>
              <fill>
                <patternFill>
                  <bgColor theme="6" tint="0.59996337778862885"/>
                </patternFill>
              </fill>
            </x14:dxf>
          </x14:cfRule>
          <xm:sqref>K69:O69</xm:sqref>
        </x14:conditionalFormatting>
        <x14:conditionalFormatting xmlns:xm="http://schemas.microsoft.com/office/excel/2006/main">
          <x14:cfRule type="expression" priority="190" id="{C278C779-6C13-458B-B2EA-CFBFCA6504C4}">
            <xm:f>機械設備計画!$P$15=0</xm:f>
            <x14:dxf>
              <fill>
                <patternFill>
                  <bgColor theme="0" tint="-0.14996795556505021"/>
                </patternFill>
              </fill>
            </x14:dxf>
          </x14:cfRule>
          <xm:sqref>O75:P75</xm:sqref>
        </x14:conditionalFormatting>
        <x14:conditionalFormatting xmlns:xm="http://schemas.microsoft.com/office/excel/2006/main">
          <x14:cfRule type="expression" priority="91" id="{9241327E-62B3-4C8C-9C69-5B0C181B1024}">
            <xm:f>資金計画!Q23="下限額未満"</xm:f>
            <x14:dxf>
              <fill>
                <patternFill>
                  <bgColor theme="6" tint="0.59996337778862885"/>
                </patternFill>
              </fill>
            </x14:dxf>
          </x14:cfRule>
          <x14:cfRule type="expression" priority="193" id="{7250E422-164D-4B56-896B-6E5E1F4ACDBA}">
            <xm:f>資金計画!$Q$24=""</xm:f>
            <x14:dxf>
              <fill>
                <patternFill>
                  <bgColor theme="0" tint="-0.14996795556505021"/>
                </patternFill>
              </fill>
            </x14:dxf>
          </x14:cfRule>
          <xm:sqref>V68:Z71</xm:sqref>
        </x14:conditionalFormatting>
        <x14:conditionalFormatting xmlns:xm="http://schemas.microsoft.com/office/excel/2006/main">
          <x14:cfRule type="expression" priority="52" id="{F4C50B93-E251-427D-81F5-2D95BA735E4C}">
            <xm:f>機械設備計画!$P$17=0</xm:f>
            <x14:dxf>
              <fill>
                <patternFill>
                  <bgColor theme="0" tint="-0.14996795556505021"/>
                </patternFill>
              </fill>
            </x14:dxf>
          </x14:cfRule>
          <xm:sqref>X75:Y76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theme="1" tint="0.499984740745262"/>
  </sheetPr>
  <dimension ref="A1:AN151"/>
  <sheetViews>
    <sheetView showGridLines="0" view="pageBreakPreview" zoomScaleNormal="100" zoomScaleSheetLayoutView="100" workbookViewId="0"/>
  </sheetViews>
  <sheetFormatPr defaultRowHeight="18"/>
  <cols>
    <col min="1" max="1" width="2.75" customWidth="1"/>
    <col min="2" max="27" width="2.83203125" customWidth="1"/>
    <col min="28" max="28" width="8.25" style="470" customWidth="1"/>
    <col min="29" max="35" width="4" style="470" customWidth="1"/>
    <col min="36" max="38" width="6.33203125" style="470" customWidth="1"/>
  </cols>
  <sheetData>
    <row r="1" spans="1:40" ht="4.9000000000000004" customHeight="1">
      <c r="R1" s="1073">
        <f>申請書!Q12</f>
        <v>0</v>
      </c>
      <c r="S1" s="1073"/>
      <c r="T1" s="1073"/>
      <c r="U1" s="1073"/>
      <c r="V1" s="1073"/>
      <c r="W1" s="1073"/>
      <c r="X1" s="1073"/>
      <c r="Y1" s="1073"/>
      <c r="Z1" s="1073"/>
      <c r="AA1" s="1073"/>
      <c r="AC1" s="471"/>
      <c r="AD1" s="471"/>
      <c r="AE1" s="471"/>
      <c r="AF1" s="471"/>
      <c r="AG1" s="471"/>
      <c r="AH1" s="471"/>
      <c r="AI1" s="471"/>
    </row>
    <row r="2" spans="1:40" ht="16.149999999999999" customHeight="1">
      <c r="A2" s="391"/>
      <c r="B2" s="392" t="s">
        <v>723</v>
      </c>
      <c r="C2" s="391"/>
      <c r="D2" s="391"/>
      <c r="E2" s="391"/>
      <c r="F2" s="391"/>
      <c r="G2" s="391"/>
      <c r="H2" s="391"/>
      <c r="I2" s="391"/>
      <c r="J2" s="391"/>
      <c r="K2" s="391"/>
      <c r="L2" s="391"/>
      <c r="M2" s="391"/>
      <c r="N2" s="391"/>
      <c r="O2" s="391"/>
      <c r="P2" s="391"/>
      <c r="Q2" s="391"/>
      <c r="R2" s="393"/>
      <c r="S2" s="393"/>
      <c r="T2" s="393"/>
      <c r="U2" s="393"/>
      <c r="V2" s="393"/>
      <c r="W2" s="393"/>
      <c r="X2" s="393"/>
      <c r="Y2" s="393"/>
      <c r="Z2" s="393"/>
      <c r="AA2" s="393"/>
      <c r="AC2" s="471"/>
      <c r="AD2" s="471"/>
      <c r="AE2" s="471"/>
      <c r="AF2" s="471"/>
      <c r="AG2" s="471"/>
      <c r="AH2" s="471"/>
      <c r="AI2" s="471"/>
    </row>
    <row r="3" spans="1:40" ht="16.149999999999999" customHeight="1">
      <c r="A3" s="391"/>
      <c r="B3" s="391"/>
      <c r="C3" s="447" t="s">
        <v>595</v>
      </c>
      <c r="D3" s="446"/>
      <c r="E3" s="446"/>
      <c r="F3" s="446"/>
      <c r="G3" s="446"/>
      <c r="H3" s="446"/>
      <c r="I3" s="446"/>
      <c r="J3" s="446"/>
      <c r="K3" s="446"/>
      <c r="L3" s="446"/>
      <c r="M3" s="446"/>
      <c r="N3" s="446"/>
      <c r="O3" s="446"/>
      <c r="P3" s="446"/>
      <c r="Q3" s="446"/>
      <c r="R3" s="446"/>
      <c r="S3" s="446"/>
      <c r="T3" s="446"/>
      <c r="U3" s="446"/>
      <c r="V3" s="391"/>
      <c r="W3" s="391"/>
      <c r="X3" s="391"/>
      <c r="Y3" s="391"/>
      <c r="Z3" s="391"/>
      <c r="AA3" s="391"/>
    </row>
    <row r="4" spans="1:40" ht="4.1500000000000004" customHeight="1">
      <c r="C4" s="62"/>
    </row>
    <row r="5" spans="1:40" s="1" customFormat="1" ht="16.5" customHeight="1">
      <c r="B5" s="6" t="s">
        <v>596</v>
      </c>
      <c r="H5" s="7" t="s">
        <v>243</v>
      </c>
      <c r="AB5" s="311"/>
      <c r="AC5" s="311"/>
      <c r="AD5" s="302"/>
      <c r="AE5" s="302"/>
      <c r="AF5" s="302"/>
      <c r="AG5" s="302"/>
      <c r="AH5" s="302"/>
      <c r="AI5" s="303"/>
      <c r="AJ5" s="304"/>
      <c r="AK5" s="304"/>
      <c r="AL5" s="304"/>
      <c r="AM5" s="304"/>
      <c r="AN5" s="53"/>
    </row>
    <row r="6" spans="1:40" s="1" customFormat="1" ht="2.15" customHeight="1">
      <c r="D6" s="138"/>
      <c r="E6" s="138"/>
      <c r="F6" s="138"/>
      <c r="G6" s="138"/>
      <c r="H6" s="138"/>
      <c r="I6" s="138"/>
      <c r="AB6" s="311"/>
      <c r="AC6" s="311"/>
      <c r="AD6" s="302"/>
      <c r="AE6" s="302"/>
      <c r="AF6" s="302"/>
      <c r="AG6" s="302"/>
      <c r="AH6" s="302"/>
      <c r="AI6" s="303"/>
      <c r="AJ6" s="304"/>
      <c r="AK6" s="304"/>
      <c r="AL6" s="304"/>
      <c r="AM6" s="304"/>
      <c r="AN6" s="53"/>
    </row>
    <row r="7" spans="1:40" s="1" customFormat="1" ht="27.75" customHeight="1">
      <c r="B7" s="689" t="s">
        <v>395</v>
      </c>
      <c r="C7" s="820"/>
      <c r="D7" s="678"/>
      <c r="E7" s="679"/>
      <c r="F7" s="679"/>
      <c r="G7" s="679"/>
      <c r="H7" s="679"/>
      <c r="I7" s="680"/>
      <c r="J7" s="689" t="s">
        <v>116</v>
      </c>
      <c r="K7" s="717"/>
      <c r="L7" s="690"/>
      <c r="M7" s="810" t="s">
        <v>572</v>
      </c>
      <c r="N7" s="811"/>
      <c r="O7" s="811"/>
      <c r="P7" s="811"/>
      <c r="Q7" s="811"/>
      <c r="R7" s="811"/>
      <c r="S7" s="811"/>
      <c r="T7" s="811"/>
      <c r="U7" s="811"/>
      <c r="V7" s="811"/>
      <c r="W7" s="811"/>
      <c r="X7" s="811"/>
      <c r="Y7" s="811"/>
      <c r="Z7" s="811"/>
      <c r="AA7" s="812"/>
      <c r="AB7" s="311"/>
      <c r="AC7" s="311"/>
      <c r="AD7" s="302"/>
      <c r="AE7" s="302"/>
      <c r="AF7" s="302"/>
      <c r="AG7" s="302"/>
      <c r="AH7" s="302"/>
      <c r="AI7" s="303"/>
      <c r="AJ7" s="304"/>
      <c r="AK7" s="304"/>
      <c r="AL7" s="304"/>
      <c r="AM7" s="304"/>
      <c r="AN7" s="53"/>
    </row>
    <row r="8" spans="1:40" s="1" customFormat="1" ht="21" customHeight="1">
      <c r="B8" s="721"/>
      <c r="C8" s="821"/>
      <c r="D8" s="681"/>
      <c r="E8" s="682"/>
      <c r="F8" s="682"/>
      <c r="G8" s="682"/>
      <c r="H8" s="682"/>
      <c r="I8" s="683"/>
      <c r="J8" s="693"/>
      <c r="K8" s="718"/>
      <c r="L8" s="692"/>
      <c r="M8" s="325"/>
      <c r="N8" s="131" t="s">
        <v>114</v>
      </c>
      <c r="O8" s="131"/>
      <c r="P8" s="131"/>
      <c r="Q8" s="131"/>
      <c r="R8" s="131"/>
      <c r="S8" s="131"/>
      <c r="T8" s="131"/>
      <c r="U8" s="131"/>
      <c r="V8" s="333"/>
      <c r="W8" s="176"/>
      <c r="X8" s="131"/>
      <c r="Y8" s="131"/>
      <c r="Z8" s="131"/>
      <c r="AA8" s="132"/>
      <c r="AB8" s="311"/>
      <c r="AC8" s="311"/>
      <c r="AD8" s="302"/>
      <c r="AE8" s="311"/>
      <c r="AF8" s="313" t="s">
        <v>409</v>
      </c>
      <c r="AG8" s="302" t="s">
        <v>597</v>
      </c>
      <c r="AH8" s="313"/>
      <c r="AI8" s="303"/>
      <c r="AJ8" s="304"/>
      <c r="AK8" s="304"/>
      <c r="AL8" s="304"/>
      <c r="AM8" s="304"/>
      <c r="AN8" s="53"/>
    </row>
    <row r="9" spans="1:40" s="3" customFormat="1" ht="21" customHeight="1">
      <c r="B9" s="721"/>
      <c r="C9" s="821"/>
      <c r="D9" s="681"/>
      <c r="E9" s="682"/>
      <c r="F9" s="682"/>
      <c r="G9" s="682"/>
      <c r="H9" s="682"/>
      <c r="I9" s="683"/>
      <c r="J9" s="693"/>
      <c r="K9" s="718"/>
      <c r="L9" s="692"/>
      <c r="M9" s="325"/>
      <c r="N9" s="49" t="s">
        <v>115</v>
      </c>
      <c r="O9" s="49"/>
      <c r="P9" s="993" t="s">
        <v>544</v>
      </c>
      <c r="Q9" s="994"/>
      <c r="R9" s="994"/>
      <c r="S9" s="994"/>
      <c r="T9" s="994"/>
      <c r="U9" s="994"/>
      <c r="V9" s="994"/>
      <c r="W9" s="994"/>
      <c r="X9" s="994"/>
      <c r="Y9" s="994"/>
      <c r="Z9" s="994"/>
      <c r="AA9" s="995"/>
      <c r="AB9" s="313"/>
      <c r="AC9" s="313"/>
      <c r="AD9" s="313"/>
      <c r="AE9" s="313"/>
      <c r="AF9" s="313" t="s">
        <v>409</v>
      </c>
      <c r="AG9" s="302" t="s">
        <v>598</v>
      </c>
      <c r="AH9" s="302"/>
      <c r="AI9" s="313"/>
      <c r="AJ9" s="313"/>
      <c r="AK9" s="304"/>
      <c r="AL9" s="304"/>
      <c r="AM9" s="304"/>
      <c r="AN9" s="40"/>
    </row>
    <row r="10" spans="1:40" s="1" customFormat="1" ht="21" customHeight="1">
      <c r="B10" s="721"/>
      <c r="C10" s="821"/>
      <c r="D10" s="681"/>
      <c r="E10" s="682"/>
      <c r="F10" s="682"/>
      <c r="G10" s="682"/>
      <c r="H10" s="682"/>
      <c r="I10" s="683"/>
      <c r="J10" s="693"/>
      <c r="K10" s="718"/>
      <c r="L10" s="692"/>
      <c r="M10" s="136" t="s">
        <v>396</v>
      </c>
      <c r="N10" s="327"/>
      <c r="O10" s="3" t="s">
        <v>142</v>
      </c>
      <c r="P10" s="3"/>
      <c r="V10" s="326"/>
      <c r="W10" s="326"/>
      <c r="X10" s="326"/>
      <c r="Y10" s="53"/>
      <c r="AA10" s="13"/>
      <c r="AB10" s="311"/>
      <c r="AC10" s="302"/>
      <c r="AD10" s="302"/>
      <c r="AE10" s="311"/>
      <c r="AF10" s="313" t="s">
        <v>409</v>
      </c>
      <c r="AG10" s="302" t="s">
        <v>599</v>
      </c>
      <c r="AH10" s="303"/>
      <c r="AI10" s="304"/>
      <c r="AJ10" s="304"/>
      <c r="AK10" s="304"/>
      <c r="AL10" s="304"/>
      <c r="AM10" s="311"/>
    </row>
    <row r="11" spans="1:40" s="3" customFormat="1" ht="21" customHeight="1">
      <c r="B11" s="721"/>
      <c r="C11" s="821"/>
      <c r="D11" s="681"/>
      <c r="E11" s="682"/>
      <c r="F11" s="682"/>
      <c r="G11" s="682"/>
      <c r="H11" s="682"/>
      <c r="I11" s="683"/>
      <c r="J11" s="693"/>
      <c r="K11" s="718"/>
      <c r="L11" s="692"/>
      <c r="M11" s="136" t="s">
        <v>397</v>
      </c>
      <c r="N11" s="327"/>
      <c r="O11" s="3" t="s">
        <v>143</v>
      </c>
      <c r="S11" s="1"/>
      <c r="V11" s="64"/>
      <c r="W11" s="1"/>
      <c r="AA11" s="36"/>
      <c r="AB11" s="313"/>
      <c r="AC11" s="302"/>
      <c r="AD11" s="302"/>
      <c r="AE11" s="313"/>
      <c r="AF11" s="313" t="s">
        <v>409</v>
      </c>
      <c r="AG11" s="302" t="s">
        <v>600</v>
      </c>
      <c r="AH11" s="313"/>
      <c r="AI11" s="313"/>
      <c r="AJ11" s="304"/>
      <c r="AK11" s="304"/>
      <c r="AL11" s="304"/>
      <c r="AM11" s="313"/>
    </row>
    <row r="12" spans="1:40" s="3" customFormat="1" ht="15" customHeight="1">
      <c r="B12" s="721"/>
      <c r="C12" s="821"/>
      <c r="D12" s="681"/>
      <c r="E12" s="682"/>
      <c r="F12" s="682"/>
      <c r="G12" s="682"/>
      <c r="H12" s="682"/>
      <c r="I12" s="683"/>
      <c r="J12" s="693"/>
      <c r="K12" s="718"/>
      <c r="L12" s="692"/>
      <c r="M12" s="35"/>
      <c r="N12" s="2"/>
      <c r="O12" s="3" t="s">
        <v>431</v>
      </c>
      <c r="T12" s="1"/>
      <c r="X12" s="813" t="s">
        <v>433</v>
      </c>
      <c r="Y12" s="814"/>
      <c r="Z12" s="814"/>
      <c r="AA12" s="815"/>
      <c r="AB12" s="313"/>
      <c r="AC12" s="313"/>
      <c r="AD12" s="302"/>
      <c r="AE12" s="302"/>
      <c r="AF12" s="302"/>
      <c r="AG12" s="302"/>
      <c r="AH12" s="302"/>
      <c r="AI12" s="313"/>
      <c r="AJ12" s="313"/>
      <c r="AK12" s="304"/>
      <c r="AL12" s="304"/>
      <c r="AM12" s="304"/>
      <c r="AN12" s="40"/>
    </row>
    <row r="13" spans="1:40" s="3" customFormat="1" ht="15" customHeight="1">
      <c r="B13" s="721"/>
      <c r="C13" s="821"/>
      <c r="D13" s="681"/>
      <c r="E13" s="682"/>
      <c r="F13" s="682"/>
      <c r="G13" s="682"/>
      <c r="H13" s="682"/>
      <c r="I13" s="683"/>
      <c r="J13" s="693"/>
      <c r="K13" s="718"/>
      <c r="L13" s="692"/>
      <c r="M13" s="133"/>
      <c r="N13" s="134"/>
      <c r="O13" s="134" t="s">
        <v>432</v>
      </c>
      <c r="P13" s="134"/>
      <c r="Q13" s="134"/>
      <c r="R13" s="134"/>
      <c r="S13" s="134"/>
      <c r="T13" s="135"/>
      <c r="U13" s="134"/>
      <c r="V13" s="134"/>
      <c r="W13" s="134"/>
      <c r="X13" s="868" t="str">
        <f>IF(M9="○",IF(AND(N10="○",N11="○"),"都外設置ok","都外設置NG"),"")</f>
        <v/>
      </c>
      <c r="Y13" s="869"/>
      <c r="Z13" s="869"/>
      <c r="AA13" s="870"/>
      <c r="AB13" s="313"/>
      <c r="AC13" s="313"/>
      <c r="AD13" s="302"/>
      <c r="AE13" s="302"/>
      <c r="AF13" s="302"/>
      <c r="AG13" s="302"/>
      <c r="AH13" s="302"/>
      <c r="AI13" s="313"/>
      <c r="AJ13" s="313"/>
      <c r="AK13" s="304"/>
      <c r="AL13" s="304"/>
      <c r="AM13" s="304"/>
      <c r="AN13" s="40"/>
    </row>
    <row r="14" spans="1:40" s="3" customFormat="1" ht="4.5" customHeight="1">
      <c r="B14" s="721"/>
      <c r="C14" s="821"/>
      <c r="D14" s="681"/>
      <c r="E14" s="682"/>
      <c r="F14" s="682"/>
      <c r="G14" s="682"/>
      <c r="H14" s="682"/>
      <c r="I14" s="683"/>
      <c r="J14" s="756"/>
      <c r="K14" s="757"/>
      <c r="L14" s="758"/>
      <c r="M14" s="89"/>
      <c r="N14" s="90"/>
      <c r="O14" s="19"/>
      <c r="P14" s="90"/>
      <c r="Q14" s="90"/>
      <c r="R14" s="90"/>
      <c r="S14" s="90"/>
      <c r="T14" s="90"/>
      <c r="U14" s="90"/>
      <c r="V14" s="90"/>
      <c r="W14" s="90"/>
      <c r="X14" s="90"/>
      <c r="Y14" s="90"/>
      <c r="Z14" s="90"/>
      <c r="AA14" s="91"/>
      <c r="AB14" s="313"/>
      <c r="AC14" s="313"/>
      <c r="AD14" s="302"/>
      <c r="AE14" s="302"/>
      <c r="AF14" s="302"/>
      <c r="AG14" s="302"/>
      <c r="AH14" s="302"/>
      <c r="AI14" s="313"/>
      <c r="AJ14" s="313"/>
      <c r="AK14" s="304"/>
      <c r="AL14" s="304"/>
      <c r="AM14" s="304"/>
      <c r="AN14" s="40"/>
    </row>
    <row r="15" spans="1:40" s="1" customFormat="1" ht="18.75" customHeight="1">
      <c r="B15" s="689" t="s">
        <v>439</v>
      </c>
      <c r="C15" s="848"/>
      <c r="D15" s="848"/>
      <c r="E15" s="848"/>
      <c r="F15" s="848"/>
      <c r="G15" s="848"/>
      <c r="H15" s="848"/>
      <c r="I15" s="820"/>
      <c r="J15" s="11" t="s">
        <v>41</v>
      </c>
      <c r="K15" s="1071"/>
      <c r="L15" s="1072"/>
      <c r="M15" s="1072"/>
      <c r="N15" s="1072"/>
      <c r="O15" s="1072"/>
      <c r="P15" s="22"/>
      <c r="Q15" s="22"/>
      <c r="R15" s="22"/>
      <c r="S15" s="22"/>
      <c r="T15" s="22"/>
      <c r="U15" s="22"/>
      <c r="V15" s="22"/>
      <c r="W15" s="22"/>
      <c r="X15" s="22"/>
      <c r="Y15" s="22"/>
      <c r="Z15" s="22"/>
      <c r="AA15" s="12"/>
      <c r="AB15" s="311"/>
      <c r="AC15" s="311"/>
      <c r="AD15" s="302"/>
      <c r="AE15" s="302"/>
      <c r="AF15" s="302"/>
      <c r="AG15" s="302"/>
      <c r="AH15" s="302"/>
      <c r="AI15" s="303"/>
      <c r="AJ15" s="304"/>
      <c r="AK15" s="304"/>
      <c r="AL15" s="304"/>
      <c r="AM15" s="304"/>
      <c r="AN15" s="53"/>
    </row>
    <row r="16" spans="1:40" s="1" customFormat="1" ht="24" customHeight="1">
      <c r="B16" s="849"/>
      <c r="C16" s="850"/>
      <c r="D16" s="851"/>
      <c r="E16" s="851"/>
      <c r="F16" s="851"/>
      <c r="G16" s="851"/>
      <c r="H16" s="851"/>
      <c r="I16" s="821"/>
      <c r="J16" s="988"/>
      <c r="K16" s="983"/>
      <c r="L16" s="983"/>
      <c r="M16" s="989"/>
      <c r="N16" s="989"/>
      <c r="O16" s="989"/>
      <c r="P16" s="989"/>
      <c r="Q16" s="989"/>
      <c r="R16" s="989"/>
      <c r="S16" s="989"/>
      <c r="T16" s="989"/>
      <c r="U16" s="989"/>
      <c r="V16" s="989"/>
      <c r="W16" s="989"/>
      <c r="X16" s="989"/>
      <c r="Y16" s="989"/>
      <c r="Z16" s="989"/>
      <c r="AA16" s="990"/>
      <c r="AB16" s="311"/>
      <c r="AC16" s="311"/>
      <c r="AD16" s="302"/>
      <c r="AE16" s="302"/>
      <c r="AF16" s="302"/>
      <c r="AG16" s="302"/>
      <c r="AH16" s="302"/>
      <c r="AI16" s="303"/>
      <c r="AJ16" s="304"/>
      <c r="AK16" s="304"/>
      <c r="AL16" s="304"/>
      <c r="AM16" s="304"/>
      <c r="AN16" s="53"/>
    </row>
    <row r="17" spans="2:40" s="1" customFormat="1" ht="18" customHeight="1">
      <c r="B17" s="689" t="s">
        <v>117</v>
      </c>
      <c r="C17" s="848"/>
      <c r="D17" s="827"/>
      <c r="E17" s="826"/>
      <c r="F17" s="826"/>
      <c r="G17" s="826"/>
      <c r="H17" s="826"/>
      <c r="I17" s="114" t="s">
        <v>118</v>
      </c>
      <c r="J17" s="826"/>
      <c r="K17" s="826"/>
      <c r="L17" s="826"/>
      <c r="M17" s="114" t="s">
        <v>119</v>
      </c>
      <c r="N17" s="826"/>
      <c r="O17" s="826"/>
      <c r="P17" s="826"/>
      <c r="Q17" s="826"/>
      <c r="R17" s="826"/>
      <c r="S17" s="114" t="s">
        <v>120</v>
      </c>
      <c r="T17" s="114"/>
      <c r="U17" s="114" t="s">
        <v>121</v>
      </c>
      <c r="V17" s="114"/>
      <c r="W17" s="114" t="s">
        <v>122</v>
      </c>
      <c r="X17" s="826"/>
      <c r="Y17" s="982"/>
      <c r="Z17" s="982"/>
      <c r="AA17" s="115" t="s">
        <v>123</v>
      </c>
      <c r="AB17" s="311"/>
      <c r="AC17" s="311"/>
      <c r="AD17" s="302"/>
      <c r="AE17" s="302"/>
      <c r="AF17" s="302"/>
      <c r="AG17" s="302"/>
      <c r="AH17" s="302"/>
      <c r="AI17" s="303"/>
      <c r="AJ17" s="304"/>
      <c r="AK17" s="304"/>
      <c r="AL17" s="304"/>
      <c r="AM17" s="304"/>
      <c r="AN17" s="53"/>
    </row>
    <row r="18" spans="2:40" s="1" customFormat="1" ht="18" customHeight="1">
      <c r="B18" s="691"/>
      <c r="C18" s="851"/>
      <c r="D18" s="830"/>
      <c r="E18" s="831"/>
      <c r="F18" s="831"/>
      <c r="G18" s="831"/>
      <c r="H18" s="831"/>
      <c r="I18" s="116" t="s">
        <v>124</v>
      </c>
      <c r="J18" s="831"/>
      <c r="K18" s="831"/>
      <c r="L18" s="831"/>
      <c r="M18" s="116" t="s">
        <v>125</v>
      </c>
      <c r="N18" s="831"/>
      <c r="O18" s="831"/>
      <c r="P18" s="831"/>
      <c r="Q18" s="831"/>
      <c r="R18" s="831"/>
      <c r="S18" s="4" t="s">
        <v>126</v>
      </c>
      <c r="T18" s="116"/>
      <c r="U18" s="116" t="s">
        <v>121</v>
      </c>
      <c r="V18" s="116"/>
      <c r="W18" s="116" t="s">
        <v>122</v>
      </c>
      <c r="X18" s="831"/>
      <c r="Y18" s="983"/>
      <c r="Z18" s="983"/>
      <c r="AA18" s="117" t="s">
        <v>123</v>
      </c>
      <c r="AB18" s="311"/>
      <c r="AC18" s="311"/>
      <c r="AD18" s="302" t="s">
        <v>383</v>
      </c>
      <c r="AE18" s="302"/>
      <c r="AF18" s="302"/>
      <c r="AG18" s="302"/>
      <c r="AH18" s="302"/>
      <c r="AI18" s="303"/>
      <c r="AJ18" s="304"/>
      <c r="AK18" s="304"/>
      <c r="AL18" s="304"/>
      <c r="AM18" s="304"/>
      <c r="AN18" s="53"/>
    </row>
    <row r="19" spans="2:40" s="1" customFormat="1" ht="18" customHeight="1">
      <c r="B19" s="849"/>
      <c r="C19" s="850"/>
      <c r="D19" s="824" t="s">
        <v>248</v>
      </c>
      <c r="E19" s="825"/>
      <c r="F19" s="825"/>
      <c r="G19" s="825"/>
      <c r="H19" s="825"/>
      <c r="I19" s="828"/>
      <c r="J19" s="828"/>
      <c r="K19" s="828"/>
      <c r="L19" s="828"/>
      <c r="M19" s="828"/>
      <c r="N19" s="828"/>
      <c r="O19" s="828"/>
      <c r="P19" s="828"/>
      <c r="Q19" s="828"/>
      <c r="R19" s="828"/>
      <c r="S19" s="828"/>
      <c r="T19" s="828"/>
      <c r="U19" s="828"/>
      <c r="V19" s="828"/>
      <c r="W19" s="828"/>
      <c r="X19" s="828"/>
      <c r="Y19" s="828"/>
      <c r="Z19" s="828"/>
      <c r="AA19" s="829"/>
      <c r="AB19" s="311"/>
      <c r="AC19" s="311"/>
      <c r="AD19" s="302" t="s">
        <v>384</v>
      </c>
      <c r="AE19" s="302"/>
      <c r="AF19" s="302"/>
      <c r="AG19" s="302"/>
      <c r="AH19" s="302"/>
      <c r="AI19" s="303"/>
      <c r="AJ19" s="304"/>
      <c r="AK19" s="304"/>
      <c r="AL19" s="304"/>
      <c r="AM19" s="304"/>
      <c r="AN19" s="53"/>
    </row>
    <row r="20" spans="2:40" s="1" customFormat="1" ht="9" customHeight="1">
      <c r="B20" s="689" t="s">
        <v>543</v>
      </c>
      <c r="C20" s="820"/>
      <c r="D20" s="22"/>
      <c r="E20" s="22"/>
      <c r="F20" s="22"/>
      <c r="G20" s="22"/>
      <c r="H20" s="22"/>
      <c r="I20" s="22"/>
      <c r="J20" s="22"/>
      <c r="K20" s="22"/>
      <c r="L20" s="22"/>
      <c r="M20" s="22"/>
      <c r="N20" s="22"/>
      <c r="O20" s="22"/>
      <c r="P20" s="22"/>
      <c r="Q20" s="22"/>
      <c r="R20" s="22"/>
      <c r="S20" s="22"/>
      <c r="T20" s="22"/>
      <c r="U20" s="22"/>
      <c r="V20" s="22"/>
      <c r="W20" s="22"/>
      <c r="X20" s="22"/>
      <c r="Y20" s="22"/>
      <c r="Z20" s="22"/>
      <c r="AA20" s="12"/>
      <c r="AB20" s="311"/>
      <c r="AC20" s="311"/>
      <c r="AD20" s="302" t="s">
        <v>385</v>
      </c>
      <c r="AE20" s="302"/>
      <c r="AF20" s="302"/>
      <c r="AG20" s="302"/>
      <c r="AH20" s="302"/>
      <c r="AI20" s="303"/>
      <c r="AJ20" s="304"/>
      <c r="AK20" s="304"/>
      <c r="AL20" s="304"/>
      <c r="AM20" s="304"/>
      <c r="AN20" s="53"/>
    </row>
    <row r="21" spans="2:40" s="1" customFormat="1" ht="18.75" customHeight="1">
      <c r="B21" s="721"/>
      <c r="C21" s="821"/>
      <c r="D21" s="328"/>
      <c r="E21" s="1" t="s">
        <v>127</v>
      </c>
      <c r="H21" s="3" t="s">
        <v>128</v>
      </c>
      <c r="I21" s="3"/>
      <c r="J21" s="3"/>
      <c r="K21" s="1063"/>
      <c r="L21" s="1064"/>
      <c r="M21" s="3" t="s">
        <v>4</v>
      </c>
      <c r="N21" s="92"/>
      <c r="O21" s="3" t="s">
        <v>131</v>
      </c>
      <c r="P21" s="3"/>
      <c r="Q21" s="3"/>
      <c r="R21" s="3"/>
      <c r="S21" s="3"/>
      <c r="T21" s="3"/>
      <c r="U21" s="3"/>
      <c r="V21" s="3"/>
      <c r="W21" s="3"/>
      <c r="X21" s="3"/>
      <c r="AA21" s="13"/>
      <c r="AB21" s="311"/>
      <c r="AC21" s="311"/>
      <c r="AD21" s="302" t="s">
        <v>386</v>
      </c>
      <c r="AE21" s="302"/>
      <c r="AF21" s="313" t="s">
        <v>409</v>
      </c>
      <c r="AG21" s="302" t="s">
        <v>601</v>
      </c>
      <c r="AH21" s="313"/>
      <c r="AI21" s="313"/>
      <c r="AJ21" s="304"/>
      <c r="AK21" s="304"/>
      <c r="AL21" s="304"/>
      <c r="AM21" s="304"/>
      <c r="AN21" s="53"/>
    </row>
    <row r="22" spans="2:40" s="3" customFormat="1" ht="17.25" customHeight="1">
      <c r="B22" s="721"/>
      <c r="C22" s="821"/>
      <c r="D22" s="46"/>
      <c r="E22" s="1"/>
      <c r="F22" s="326"/>
      <c r="G22" s="1"/>
      <c r="H22" s="3" t="s">
        <v>130</v>
      </c>
      <c r="K22" s="1063"/>
      <c r="L22" s="1064"/>
      <c r="M22" s="3" t="s">
        <v>4</v>
      </c>
      <c r="N22" s="92"/>
      <c r="O22" s="3" t="s">
        <v>131</v>
      </c>
      <c r="Q22" s="3" t="s">
        <v>132</v>
      </c>
      <c r="Y22" s="1"/>
      <c r="Z22" s="1"/>
      <c r="AA22" s="13"/>
      <c r="AB22" s="313"/>
      <c r="AC22" s="313"/>
      <c r="AD22" s="302" t="s">
        <v>387</v>
      </c>
      <c r="AE22" s="302"/>
      <c r="AF22" s="302"/>
      <c r="AG22" s="302"/>
      <c r="AH22" s="302"/>
      <c r="AI22" s="313"/>
      <c r="AJ22" s="313"/>
      <c r="AK22" s="304"/>
      <c r="AL22" s="304"/>
      <c r="AM22" s="304"/>
      <c r="AN22" s="40"/>
    </row>
    <row r="23" spans="2:40" s="3" customFormat="1" ht="9" customHeight="1">
      <c r="B23" s="721"/>
      <c r="C23" s="821"/>
      <c r="D23" s="46"/>
      <c r="E23" s="1"/>
      <c r="F23" s="1"/>
      <c r="G23" s="1"/>
      <c r="H23" s="1"/>
      <c r="I23" s="1"/>
      <c r="J23" s="1"/>
      <c r="K23" s="1"/>
      <c r="L23" s="1"/>
      <c r="M23" s="1"/>
      <c r="N23" s="1"/>
      <c r="O23" s="1"/>
      <c r="P23" s="1"/>
      <c r="Q23" s="1"/>
      <c r="R23" s="1"/>
      <c r="S23" s="1"/>
      <c r="T23" s="1"/>
      <c r="U23" s="1"/>
      <c r="V23" s="1"/>
      <c r="W23" s="1"/>
      <c r="X23" s="1"/>
      <c r="Y23" s="1"/>
      <c r="Z23" s="1"/>
      <c r="AA23" s="13"/>
      <c r="AB23" s="313"/>
      <c r="AC23" s="313"/>
      <c r="AD23" s="302" t="s">
        <v>388</v>
      </c>
      <c r="AE23" s="302"/>
      <c r="AF23" s="302"/>
      <c r="AG23" s="302"/>
      <c r="AH23" s="302"/>
      <c r="AI23" s="313"/>
      <c r="AJ23" s="313"/>
      <c r="AK23" s="304"/>
      <c r="AL23" s="304"/>
      <c r="AM23" s="304"/>
      <c r="AN23" s="40"/>
    </row>
    <row r="24" spans="2:40" s="3" customFormat="1" ht="18" customHeight="1">
      <c r="B24" s="721"/>
      <c r="C24" s="821"/>
      <c r="D24" s="328"/>
      <c r="E24" s="1" t="s">
        <v>133</v>
      </c>
      <c r="F24" s="1"/>
      <c r="G24" s="1"/>
      <c r="H24" s="3" t="s">
        <v>136</v>
      </c>
      <c r="I24" s="34"/>
      <c r="J24" s="34"/>
      <c r="K24" s="1065"/>
      <c r="L24" s="1066"/>
      <c r="M24" s="1066"/>
      <c r="N24" s="1066"/>
      <c r="O24" s="1066"/>
      <c r="P24" s="1066"/>
      <c r="Q24" s="1066"/>
      <c r="R24" s="1066"/>
      <c r="S24" s="1066"/>
      <c r="T24" s="1066"/>
      <c r="U24" s="1066"/>
      <c r="V24" s="1066"/>
      <c r="W24" s="1066"/>
      <c r="X24" s="1066"/>
      <c r="Y24" s="1066"/>
      <c r="Z24" s="1066"/>
      <c r="AA24" s="36" t="s">
        <v>129</v>
      </c>
      <c r="AB24" s="313"/>
      <c r="AC24" s="313"/>
      <c r="AD24" s="302" t="s">
        <v>430</v>
      </c>
      <c r="AE24" s="302"/>
      <c r="AF24" s="313" t="s">
        <v>409</v>
      </c>
      <c r="AG24" s="302" t="s">
        <v>602</v>
      </c>
      <c r="AH24" s="313"/>
      <c r="AI24" s="313"/>
      <c r="AJ24" s="313"/>
      <c r="AK24" s="304"/>
      <c r="AL24" s="304"/>
      <c r="AM24" s="304"/>
      <c r="AN24" s="40"/>
    </row>
    <row r="25" spans="2:40" s="3" customFormat="1" ht="21.75" customHeight="1">
      <c r="B25" s="721"/>
      <c r="C25" s="821"/>
      <c r="D25" s="1"/>
      <c r="E25" s="1"/>
      <c r="F25" s="326"/>
      <c r="G25" s="46"/>
      <c r="H25" s="3" t="s">
        <v>134</v>
      </c>
      <c r="K25" s="1063"/>
      <c r="L25" s="1064"/>
      <c r="M25" s="3" t="s">
        <v>4</v>
      </c>
      <c r="N25" s="92"/>
      <c r="O25" s="3" t="s">
        <v>113</v>
      </c>
      <c r="P25" s="3" t="s">
        <v>135</v>
      </c>
      <c r="R25" s="1067"/>
      <c r="S25" s="1068"/>
      <c r="T25" s="3" t="s">
        <v>4</v>
      </c>
      <c r="U25" s="92"/>
      <c r="V25" s="3" t="s">
        <v>113</v>
      </c>
      <c r="W25" s="3" t="s">
        <v>129</v>
      </c>
      <c r="X25" s="1"/>
      <c r="Y25" s="1"/>
      <c r="Z25" s="1"/>
      <c r="AA25" s="13"/>
      <c r="AB25" s="313"/>
      <c r="AC25" s="313"/>
      <c r="AD25" s="302" t="s">
        <v>389</v>
      </c>
      <c r="AE25" s="302"/>
      <c r="AF25" s="302"/>
      <c r="AG25" s="302"/>
      <c r="AH25" s="302"/>
      <c r="AI25" s="313"/>
      <c r="AJ25" s="313"/>
      <c r="AK25" s="304"/>
      <c r="AL25" s="304"/>
      <c r="AM25" s="304"/>
      <c r="AN25" s="40"/>
    </row>
    <row r="26" spans="2:40" s="1" customFormat="1" ht="21.75" customHeight="1">
      <c r="B26" s="721"/>
      <c r="C26" s="821"/>
      <c r="G26" s="46"/>
      <c r="H26" s="3" t="s">
        <v>398</v>
      </c>
      <c r="M26" s="1063"/>
      <c r="N26" s="1064"/>
      <c r="O26" s="3" t="s">
        <v>4</v>
      </c>
      <c r="P26" s="92"/>
      <c r="Q26" s="3" t="s">
        <v>131</v>
      </c>
      <c r="R26" s="3" t="s">
        <v>137</v>
      </c>
      <c r="Z26" s="53"/>
      <c r="AA26" s="71"/>
      <c r="AB26" s="311"/>
      <c r="AC26" s="311"/>
      <c r="AD26" s="302"/>
      <c r="AE26" s="302"/>
      <c r="AF26" s="302"/>
      <c r="AG26" s="302"/>
      <c r="AH26" s="302"/>
      <c r="AI26" s="303"/>
      <c r="AJ26" s="304"/>
      <c r="AK26" s="304"/>
      <c r="AL26" s="304"/>
      <c r="AM26" s="304"/>
      <c r="AN26" s="53"/>
    </row>
    <row r="27" spans="2:40" s="1" customFormat="1" ht="15" customHeight="1">
      <c r="B27" s="849"/>
      <c r="C27" s="1062"/>
      <c r="D27" s="19"/>
      <c r="E27" s="19"/>
      <c r="F27" s="19"/>
      <c r="G27" s="19"/>
      <c r="H27" s="1069" t="s">
        <v>603</v>
      </c>
      <c r="I27" s="1070"/>
      <c r="J27" s="1070"/>
      <c r="K27" s="952"/>
      <c r="L27" s="952"/>
      <c r="M27" s="952"/>
      <c r="N27" s="952"/>
      <c r="O27" s="952"/>
      <c r="P27" s="952"/>
      <c r="Q27" s="952"/>
      <c r="R27" s="952"/>
      <c r="S27" s="952"/>
      <c r="T27" s="952"/>
      <c r="U27" s="952"/>
      <c r="V27" s="952"/>
      <c r="W27" s="952"/>
      <c r="X27" s="952"/>
      <c r="Y27" s="952"/>
      <c r="Z27" s="952"/>
      <c r="AA27" s="366" t="s">
        <v>604</v>
      </c>
      <c r="AB27" s="311"/>
      <c r="AC27" s="311"/>
      <c r="AD27" s="302"/>
      <c r="AE27" s="302"/>
      <c r="AF27" s="302"/>
      <c r="AG27" s="302"/>
      <c r="AH27" s="302"/>
      <c r="AI27" s="303"/>
      <c r="AJ27" s="304"/>
      <c r="AK27" s="304"/>
      <c r="AL27" s="304"/>
      <c r="AM27" s="304"/>
      <c r="AN27" s="53"/>
    </row>
    <row r="28" spans="2:40" ht="9.4" customHeight="1"/>
    <row r="29" spans="2:40" s="1" customFormat="1" ht="16.5" customHeight="1">
      <c r="B29" s="6" t="s">
        <v>605</v>
      </c>
      <c r="H29" s="7" t="s">
        <v>243</v>
      </c>
      <c r="AB29" s="311"/>
      <c r="AC29" s="311"/>
      <c r="AD29" s="302"/>
      <c r="AE29" s="302"/>
      <c r="AF29" s="302"/>
      <c r="AG29" s="302"/>
      <c r="AH29" s="302"/>
      <c r="AI29" s="303"/>
      <c r="AJ29" s="304"/>
      <c r="AK29" s="304"/>
      <c r="AL29" s="304"/>
      <c r="AM29" s="304"/>
      <c r="AN29" s="53"/>
    </row>
    <row r="30" spans="2:40" s="1" customFormat="1" ht="2.15" customHeight="1">
      <c r="D30" s="138"/>
      <c r="E30" s="138"/>
      <c r="F30" s="138"/>
      <c r="G30" s="138"/>
      <c r="H30" s="138"/>
      <c r="I30" s="138"/>
      <c r="AB30" s="311"/>
      <c r="AC30" s="311"/>
      <c r="AD30" s="302"/>
      <c r="AE30" s="302"/>
      <c r="AF30" s="302"/>
      <c r="AG30" s="302"/>
      <c r="AH30" s="302"/>
      <c r="AI30" s="303"/>
      <c r="AJ30" s="304"/>
      <c r="AK30" s="304"/>
      <c r="AL30" s="304"/>
      <c r="AM30" s="304"/>
      <c r="AN30" s="53"/>
    </row>
    <row r="31" spans="2:40" s="1" customFormat="1" ht="27.75" customHeight="1">
      <c r="B31" s="689" t="s">
        <v>395</v>
      </c>
      <c r="C31" s="820"/>
      <c r="D31" s="678"/>
      <c r="E31" s="679"/>
      <c r="F31" s="679"/>
      <c r="G31" s="679"/>
      <c r="H31" s="679"/>
      <c r="I31" s="680"/>
      <c r="J31" s="689" t="s">
        <v>116</v>
      </c>
      <c r="K31" s="717"/>
      <c r="L31" s="690"/>
      <c r="M31" s="810" t="s">
        <v>572</v>
      </c>
      <c r="N31" s="811"/>
      <c r="O31" s="811"/>
      <c r="P31" s="811"/>
      <c r="Q31" s="811"/>
      <c r="R31" s="811"/>
      <c r="S31" s="811"/>
      <c r="T31" s="811"/>
      <c r="U31" s="811"/>
      <c r="V31" s="811"/>
      <c r="W31" s="811"/>
      <c r="X31" s="811"/>
      <c r="Y31" s="811"/>
      <c r="Z31" s="811"/>
      <c r="AA31" s="812"/>
      <c r="AB31" s="311"/>
      <c r="AC31" s="311"/>
      <c r="AD31" s="302"/>
      <c r="AE31" s="302"/>
      <c r="AF31" s="302"/>
      <c r="AG31" s="302"/>
      <c r="AH31" s="302"/>
      <c r="AI31" s="303"/>
      <c r="AJ31" s="304"/>
      <c r="AK31" s="304"/>
      <c r="AL31" s="304"/>
      <c r="AM31" s="304"/>
      <c r="AN31" s="53"/>
    </row>
    <row r="32" spans="2:40" s="1" customFormat="1" ht="21" customHeight="1">
      <c r="B32" s="721"/>
      <c r="C32" s="821"/>
      <c r="D32" s="681"/>
      <c r="E32" s="682"/>
      <c r="F32" s="682"/>
      <c r="G32" s="682"/>
      <c r="H32" s="682"/>
      <c r="I32" s="683"/>
      <c r="J32" s="693"/>
      <c r="K32" s="718"/>
      <c r="L32" s="692"/>
      <c r="M32" s="325"/>
      <c r="N32" s="131" t="s">
        <v>114</v>
      </c>
      <c r="O32" s="131"/>
      <c r="P32" s="131"/>
      <c r="Q32" s="131"/>
      <c r="R32" s="131"/>
      <c r="S32" s="131"/>
      <c r="T32" s="131"/>
      <c r="U32" s="131"/>
      <c r="V32" s="333"/>
      <c r="W32" s="176"/>
      <c r="X32" s="131"/>
      <c r="Y32" s="131"/>
      <c r="Z32" s="131"/>
      <c r="AA32" s="132"/>
      <c r="AB32" s="311"/>
      <c r="AC32" s="311"/>
      <c r="AD32" s="302"/>
      <c r="AE32" s="311"/>
      <c r="AF32" s="313" t="s">
        <v>409</v>
      </c>
      <c r="AG32" s="302" t="s">
        <v>597</v>
      </c>
      <c r="AH32" s="313"/>
      <c r="AI32" s="303"/>
      <c r="AJ32" s="304"/>
      <c r="AK32" s="304"/>
      <c r="AL32" s="304"/>
      <c r="AM32" s="304"/>
      <c r="AN32" s="53"/>
    </row>
    <row r="33" spans="2:40" s="3" customFormat="1" ht="21" customHeight="1">
      <c r="B33" s="721"/>
      <c r="C33" s="821"/>
      <c r="D33" s="681"/>
      <c r="E33" s="682"/>
      <c r="F33" s="682"/>
      <c r="G33" s="682"/>
      <c r="H33" s="682"/>
      <c r="I33" s="683"/>
      <c r="J33" s="693"/>
      <c r="K33" s="718"/>
      <c r="L33" s="692"/>
      <c r="M33" s="325"/>
      <c r="N33" s="49" t="s">
        <v>115</v>
      </c>
      <c r="O33" s="49"/>
      <c r="P33" s="993" t="s">
        <v>544</v>
      </c>
      <c r="Q33" s="994"/>
      <c r="R33" s="994"/>
      <c r="S33" s="994"/>
      <c r="T33" s="994"/>
      <c r="U33" s="994"/>
      <c r="V33" s="994"/>
      <c r="W33" s="994"/>
      <c r="X33" s="994"/>
      <c r="Y33" s="994"/>
      <c r="Z33" s="994"/>
      <c r="AA33" s="995"/>
      <c r="AB33" s="313"/>
      <c r="AC33" s="313"/>
      <c r="AD33" s="313"/>
      <c r="AE33" s="313"/>
      <c r="AF33" s="313" t="s">
        <v>409</v>
      </c>
      <c r="AG33" s="302" t="s">
        <v>598</v>
      </c>
      <c r="AH33" s="302"/>
      <c r="AI33" s="313"/>
      <c r="AJ33" s="313"/>
      <c r="AK33" s="304"/>
      <c r="AL33" s="304"/>
      <c r="AM33" s="304"/>
      <c r="AN33" s="40"/>
    </row>
    <row r="34" spans="2:40" s="1" customFormat="1" ht="21" customHeight="1">
      <c r="B34" s="721"/>
      <c r="C34" s="821"/>
      <c r="D34" s="681"/>
      <c r="E34" s="682"/>
      <c r="F34" s="682"/>
      <c r="G34" s="682"/>
      <c r="H34" s="682"/>
      <c r="I34" s="683"/>
      <c r="J34" s="693"/>
      <c r="K34" s="718"/>
      <c r="L34" s="692"/>
      <c r="M34" s="136" t="s">
        <v>396</v>
      </c>
      <c r="N34" s="327"/>
      <c r="O34" s="3" t="s">
        <v>142</v>
      </c>
      <c r="P34" s="3"/>
      <c r="V34" s="326"/>
      <c r="W34" s="326"/>
      <c r="X34" s="326"/>
      <c r="Y34" s="53"/>
      <c r="AA34" s="13"/>
      <c r="AB34" s="311"/>
      <c r="AC34" s="302"/>
      <c r="AD34" s="302"/>
      <c r="AE34" s="311"/>
      <c r="AF34" s="313" t="s">
        <v>409</v>
      </c>
      <c r="AG34" s="302" t="s">
        <v>599</v>
      </c>
      <c r="AH34" s="303"/>
      <c r="AI34" s="304"/>
      <c r="AJ34" s="304"/>
      <c r="AK34" s="304"/>
      <c r="AL34" s="304"/>
      <c r="AM34" s="311"/>
    </row>
    <row r="35" spans="2:40" s="3" customFormat="1" ht="21" customHeight="1">
      <c r="B35" s="721"/>
      <c r="C35" s="821"/>
      <c r="D35" s="681"/>
      <c r="E35" s="682"/>
      <c r="F35" s="682"/>
      <c r="G35" s="682"/>
      <c r="H35" s="682"/>
      <c r="I35" s="683"/>
      <c r="J35" s="693"/>
      <c r="K35" s="718"/>
      <c r="L35" s="692"/>
      <c r="M35" s="136" t="s">
        <v>397</v>
      </c>
      <c r="N35" s="327"/>
      <c r="O35" s="3" t="s">
        <v>143</v>
      </c>
      <c r="S35" s="1"/>
      <c r="V35" s="64"/>
      <c r="W35" s="1"/>
      <c r="AA35" s="36"/>
      <c r="AB35" s="313"/>
      <c r="AC35" s="302"/>
      <c r="AD35" s="302"/>
      <c r="AE35" s="313"/>
      <c r="AF35" s="313" t="s">
        <v>409</v>
      </c>
      <c r="AG35" s="302" t="s">
        <v>600</v>
      </c>
      <c r="AH35" s="313"/>
      <c r="AI35" s="313"/>
      <c r="AJ35" s="304"/>
      <c r="AK35" s="304"/>
      <c r="AL35" s="304"/>
      <c r="AM35" s="313"/>
    </row>
    <row r="36" spans="2:40" s="3" customFormat="1" ht="15" customHeight="1">
      <c r="B36" s="721"/>
      <c r="C36" s="821"/>
      <c r="D36" s="681"/>
      <c r="E36" s="682"/>
      <c r="F36" s="682"/>
      <c r="G36" s="682"/>
      <c r="H36" s="682"/>
      <c r="I36" s="683"/>
      <c r="J36" s="693"/>
      <c r="K36" s="718"/>
      <c r="L36" s="692"/>
      <c r="M36" s="35"/>
      <c r="N36" s="2"/>
      <c r="O36" s="3" t="s">
        <v>431</v>
      </c>
      <c r="T36" s="1"/>
      <c r="X36" s="813" t="s">
        <v>433</v>
      </c>
      <c r="Y36" s="814"/>
      <c r="Z36" s="814"/>
      <c r="AA36" s="815"/>
      <c r="AB36" s="313"/>
      <c r="AC36" s="313"/>
      <c r="AD36" s="302"/>
      <c r="AE36" s="302"/>
      <c r="AF36" s="302"/>
      <c r="AG36" s="302"/>
      <c r="AH36" s="302"/>
      <c r="AI36" s="313"/>
      <c r="AJ36" s="313"/>
      <c r="AK36" s="304"/>
      <c r="AL36" s="304"/>
      <c r="AM36" s="304"/>
      <c r="AN36" s="40"/>
    </row>
    <row r="37" spans="2:40" s="3" customFormat="1" ht="15" customHeight="1">
      <c r="B37" s="721"/>
      <c r="C37" s="821"/>
      <c r="D37" s="681"/>
      <c r="E37" s="682"/>
      <c r="F37" s="682"/>
      <c r="G37" s="682"/>
      <c r="H37" s="682"/>
      <c r="I37" s="683"/>
      <c r="J37" s="693"/>
      <c r="K37" s="718"/>
      <c r="L37" s="692"/>
      <c r="M37" s="133"/>
      <c r="N37" s="134"/>
      <c r="O37" s="134" t="s">
        <v>432</v>
      </c>
      <c r="P37" s="134"/>
      <c r="Q37" s="134"/>
      <c r="R37" s="134"/>
      <c r="S37" s="134"/>
      <c r="T37" s="135"/>
      <c r="U37" s="134"/>
      <c r="V37" s="134"/>
      <c r="W37" s="134"/>
      <c r="X37" s="868" t="str">
        <f>IF(M33="○",IF(AND(N34="○",N35="○"),"都外設置ok","都外設置NG"),"")</f>
        <v/>
      </c>
      <c r="Y37" s="869"/>
      <c r="Z37" s="869"/>
      <c r="AA37" s="870"/>
      <c r="AB37" s="313"/>
      <c r="AC37" s="313"/>
      <c r="AD37" s="302"/>
      <c r="AE37" s="302"/>
      <c r="AF37" s="302"/>
      <c r="AG37" s="302"/>
      <c r="AH37" s="302"/>
      <c r="AI37" s="313"/>
      <c r="AJ37" s="313"/>
      <c r="AK37" s="304"/>
      <c r="AL37" s="304"/>
      <c r="AM37" s="304"/>
      <c r="AN37" s="40"/>
    </row>
    <row r="38" spans="2:40" s="3" customFormat="1" ht="4.5" customHeight="1">
      <c r="B38" s="721"/>
      <c r="C38" s="821"/>
      <c r="D38" s="681"/>
      <c r="E38" s="682"/>
      <c r="F38" s="682"/>
      <c r="G38" s="682"/>
      <c r="H38" s="682"/>
      <c r="I38" s="683"/>
      <c r="J38" s="756"/>
      <c r="K38" s="757"/>
      <c r="L38" s="758"/>
      <c r="M38" s="89"/>
      <c r="N38" s="90"/>
      <c r="O38" s="19"/>
      <c r="P38" s="90"/>
      <c r="Q38" s="90"/>
      <c r="R38" s="90"/>
      <c r="S38" s="90"/>
      <c r="T38" s="90"/>
      <c r="U38" s="90"/>
      <c r="V38" s="90"/>
      <c r="W38" s="90"/>
      <c r="X38" s="90"/>
      <c r="Y38" s="90"/>
      <c r="Z38" s="90"/>
      <c r="AA38" s="91"/>
      <c r="AB38" s="313"/>
      <c r="AC38" s="313"/>
      <c r="AD38" s="302"/>
      <c r="AE38" s="302"/>
      <c r="AF38" s="302"/>
      <c r="AG38" s="302"/>
      <c r="AH38" s="302"/>
      <c r="AI38" s="313"/>
      <c r="AJ38" s="313"/>
      <c r="AK38" s="304"/>
      <c r="AL38" s="304"/>
      <c r="AM38" s="304"/>
      <c r="AN38" s="40"/>
    </row>
    <row r="39" spans="2:40" s="1" customFormat="1" ht="18.75" customHeight="1">
      <c r="B39" s="689" t="s">
        <v>439</v>
      </c>
      <c r="C39" s="848"/>
      <c r="D39" s="848"/>
      <c r="E39" s="848"/>
      <c r="F39" s="848"/>
      <c r="G39" s="848"/>
      <c r="H39" s="848"/>
      <c r="I39" s="820"/>
      <c r="J39" s="11" t="s">
        <v>41</v>
      </c>
      <c r="K39" s="1071"/>
      <c r="L39" s="1072"/>
      <c r="M39" s="1072"/>
      <c r="N39" s="1072"/>
      <c r="O39" s="1072"/>
      <c r="P39" s="22"/>
      <c r="Q39" s="22"/>
      <c r="R39" s="22"/>
      <c r="S39" s="22"/>
      <c r="T39" s="22"/>
      <c r="U39" s="22"/>
      <c r="V39" s="22"/>
      <c r="W39" s="22"/>
      <c r="X39" s="22"/>
      <c r="Y39" s="22"/>
      <c r="Z39" s="22"/>
      <c r="AA39" s="12"/>
      <c r="AB39" s="311"/>
      <c r="AC39" s="311"/>
      <c r="AD39" s="302"/>
      <c r="AE39" s="302"/>
      <c r="AF39" s="302"/>
      <c r="AG39" s="302"/>
      <c r="AH39" s="302"/>
      <c r="AI39" s="303"/>
      <c r="AJ39" s="304"/>
      <c r="AK39" s="304"/>
      <c r="AL39" s="304"/>
      <c r="AM39" s="304"/>
      <c r="AN39" s="53"/>
    </row>
    <row r="40" spans="2:40" s="1" customFormat="1" ht="24" customHeight="1">
      <c r="B40" s="849"/>
      <c r="C40" s="850"/>
      <c r="D40" s="851"/>
      <c r="E40" s="851"/>
      <c r="F40" s="851"/>
      <c r="G40" s="851"/>
      <c r="H40" s="851"/>
      <c r="I40" s="821"/>
      <c r="J40" s="988"/>
      <c r="K40" s="983"/>
      <c r="L40" s="983"/>
      <c r="M40" s="989"/>
      <c r="N40" s="989"/>
      <c r="O40" s="989"/>
      <c r="P40" s="989"/>
      <c r="Q40" s="989"/>
      <c r="R40" s="989"/>
      <c r="S40" s="989"/>
      <c r="T40" s="989"/>
      <c r="U40" s="989"/>
      <c r="V40" s="989"/>
      <c r="W40" s="989"/>
      <c r="X40" s="989"/>
      <c r="Y40" s="989"/>
      <c r="Z40" s="989"/>
      <c r="AA40" s="990"/>
      <c r="AB40" s="311"/>
      <c r="AC40" s="311"/>
      <c r="AD40" s="302"/>
      <c r="AE40" s="302"/>
      <c r="AF40" s="302"/>
      <c r="AG40" s="302"/>
      <c r="AH40" s="302"/>
      <c r="AI40" s="303"/>
      <c r="AJ40" s="304"/>
      <c r="AK40" s="304"/>
      <c r="AL40" s="304"/>
      <c r="AM40" s="304"/>
      <c r="AN40" s="53"/>
    </row>
    <row r="41" spans="2:40" s="1" customFormat="1" ht="18" customHeight="1">
      <c r="B41" s="689" t="s">
        <v>117</v>
      </c>
      <c r="C41" s="848"/>
      <c r="D41" s="827"/>
      <c r="E41" s="826"/>
      <c r="F41" s="826"/>
      <c r="G41" s="826"/>
      <c r="H41" s="826"/>
      <c r="I41" s="114" t="s">
        <v>118</v>
      </c>
      <c r="J41" s="826"/>
      <c r="K41" s="826"/>
      <c r="L41" s="826"/>
      <c r="M41" s="114" t="s">
        <v>119</v>
      </c>
      <c r="N41" s="826"/>
      <c r="O41" s="826"/>
      <c r="P41" s="826"/>
      <c r="Q41" s="826"/>
      <c r="R41" s="826"/>
      <c r="S41" s="114" t="s">
        <v>120</v>
      </c>
      <c r="T41" s="114"/>
      <c r="U41" s="114" t="s">
        <v>121</v>
      </c>
      <c r="V41" s="114"/>
      <c r="W41" s="114" t="s">
        <v>122</v>
      </c>
      <c r="X41" s="826"/>
      <c r="Y41" s="982"/>
      <c r="Z41" s="982"/>
      <c r="AA41" s="115" t="s">
        <v>123</v>
      </c>
      <c r="AB41" s="311"/>
      <c r="AC41" s="311"/>
      <c r="AD41" s="302"/>
      <c r="AE41" s="302"/>
      <c r="AF41" s="302"/>
      <c r="AG41" s="302"/>
      <c r="AH41" s="302"/>
      <c r="AI41" s="303"/>
      <c r="AJ41" s="304"/>
      <c r="AK41" s="304"/>
      <c r="AL41" s="304"/>
      <c r="AM41" s="304"/>
      <c r="AN41" s="53"/>
    </row>
    <row r="42" spans="2:40" s="1" customFormat="1" ht="18" customHeight="1">
      <c r="B42" s="691"/>
      <c r="C42" s="851"/>
      <c r="D42" s="830"/>
      <c r="E42" s="831"/>
      <c r="F42" s="831"/>
      <c r="G42" s="831"/>
      <c r="H42" s="831"/>
      <c r="I42" s="116" t="s">
        <v>124</v>
      </c>
      <c r="J42" s="831"/>
      <c r="K42" s="831"/>
      <c r="L42" s="831"/>
      <c r="M42" s="116" t="s">
        <v>125</v>
      </c>
      <c r="N42" s="831"/>
      <c r="O42" s="831"/>
      <c r="P42" s="831"/>
      <c r="Q42" s="831"/>
      <c r="R42" s="831"/>
      <c r="S42" s="4" t="s">
        <v>126</v>
      </c>
      <c r="T42" s="116"/>
      <c r="U42" s="116" t="s">
        <v>121</v>
      </c>
      <c r="V42" s="116"/>
      <c r="W42" s="116" t="s">
        <v>122</v>
      </c>
      <c r="X42" s="831"/>
      <c r="Y42" s="983"/>
      <c r="Z42" s="983"/>
      <c r="AA42" s="117" t="s">
        <v>123</v>
      </c>
      <c r="AB42" s="311"/>
      <c r="AC42" s="311"/>
      <c r="AD42" s="302" t="s">
        <v>383</v>
      </c>
      <c r="AE42" s="302"/>
      <c r="AF42" s="302"/>
      <c r="AG42" s="302"/>
      <c r="AH42" s="302"/>
      <c r="AI42" s="303"/>
      <c r="AJ42" s="304"/>
      <c r="AK42" s="304"/>
      <c r="AL42" s="304"/>
      <c r="AM42" s="304"/>
      <c r="AN42" s="53"/>
    </row>
    <row r="43" spans="2:40" s="1" customFormat="1" ht="18" customHeight="1">
      <c r="B43" s="849"/>
      <c r="C43" s="850"/>
      <c r="D43" s="824" t="s">
        <v>248</v>
      </c>
      <c r="E43" s="825"/>
      <c r="F43" s="825"/>
      <c r="G43" s="825"/>
      <c r="H43" s="825"/>
      <c r="I43" s="828"/>
      <c r="J43" s="828"/>
      <c r="K43" s="828"/>
      <c r="L43" s="828"/>
      <c r="M43" s="828"/>
      <c r="N43" s="828"/>
      <c r="O43" s="828"/>
      <c r="P43" s="828"/>
      <c r="Q43" s="828"/>
      <c r="R43" s="828"/>
      <c r="S43" s="828"/>
      <c r="T43" s="828"/>
      <c r="U43" s="828"/>
      <c r="V43" s="828"/>
      <c r="W43" s="828"/>
      <c r="X43" s="828"/>
      <c r="Y43" s="828"/>
      <c r="Z43" s="828"/>
      <c r="AA43" s="829"/>
      <c r="AB43" s="311"/>
      <c r="AC43" s="311"/>
      <c r="AD43" s="302" t="s">
        <v>384</v>
      </c>
      <c r="AE43" s="302"/>
      <c r="AF43" s="302"/>
      <c r="AG43" s="302"/>
      <c r="AH43" s="302"/>
      <c r="AI43" s="303"/>
      <c r="AJ43" s="304"/>
      <c r="AK43" s="304"/>
      <c r="AL43" s="304"/>
      <c r="AM43" s="304"/>
      <c r="AN43" s="53"/>
    </row>
    <row r="44" spans="2:40" s="1" customFormat="1" ht="9" customHeight="1">
      <c r="B44" s="689" t="s">
        <v>543</v>
      </c>
      <c r="C44" s="820"/>
      <c r="D44" s="22"/>
      <c r="E44" s="22"/>
      <c r="F44" s="22"/>
      <c r="G44" s="22"/>
      <c r="H44" s="22"/>
      <c r="I44" s="22"/>
      <c r="J44" s="22"/>
      <c r="K44" s="22"/>
      <c r="L44" s="22"/>
      <c r="M44" s="22"/>
      <c r="N44" s="22"/>
      <c r="O44" s="22"/>
      <c r="P44" s="22"/>
      <c r="Q44" s="22"/>
      <c r="R44" s="22"/>
      <c r="S44" s="22"/>
      <c r="T44" s="22"/>
      <c r="U44" s="22"/>
      <c r="V44" s="22"/>
      <c r="W44" s="22"/>
      <c r="X44" s="22"/>
      <c r="Y44" s="22"/>
      <c r="Z44" s="22"/>
      <c r="AA44" s="12"/>
      <c r="AB44" s="311"/>
      <c r="AC44" s="311"/>
      <c r="AD44" s="302" t="s">
        <v>385</v>
      </c>
      <c r="AE44" s="302"/>
      <c r="AF44" s="302"/>
      <c r="AG44" s="302"/>
      <c r="AH44" s="302"/>
      <c r="AI44" s="303"/>
      <c r="AJ44" s="304"/>
      <c r="AK44" s="304"/>
      <c r="AL44" s="304"/>
      <c r="AM44" s="304"/>
      <c r="AN44" s="53"/>
    </row>
    <row r="45" spans="2:40" s="1" customFormat="1" ht="18.75" customHeight="1">
      <c r="B45" s="721"/>
      <c r="C45" s="821"/>
      <c r="D45" s="328"/>
      <c r="E45" s="1" t="s">
        <v>127</v>
      </c>
      <c r="H45" s="3" t="s">
        <v>128</v>
      </c>
      <c r="I45" s="3"/>
      <c r="J45" s="3"/>
      <c r="K45" s="1063"/>
      <c r="L45" s="1064"/>
      <c r="M45" s="3" t="s">
        <v>4</v>
      </c>
      <c r="N45" s="92"/>
      <c r="O45" s="3" t="s">
        <v>131</v>
      </c>
      <c r="P45" s="3"/>
      <c r="Q45" s="3"/>
      <c r="R45" s="3"/>
      <c r="S45" s="3"/>
      <c r="T45" s="3"/>
      <c r="U45" s="3"/>
      <c r="V45" s="3"/>
      <c r="W45" s="3"/>
      <c r="X45" s="3"/>
      <c r="AA45" s="13"/>
      <c r="AB45" s="311"/>
      <c r="AC45" s="311"/>
      <c r="AD45" s="302" t="s">
        <v>386</v>
      </c>
      <c r="AE45" s="302"/>
      <c r="AF45" s="313" t="s">
        <v>409</v>
      </c>
      <c r="AG45" s="302" t="s">
        <v>601</v>
      </c>
      <c r="AH45" s="313"/>
      <c r="AI45" s="313"/>
      <c r="AJ45" s="304"/>
      <c r="AK45" s="304"/>
      <c r="AL45" s="304"/>
      <c r="AM45" s="304"/>
      <c r="AN45" s="53"/>
    </row>
    <row r="46" spans="2:40" s="3" customFormat="1" ht="17.25" customHeight="1">
      <c r="B46" s="721"/>
      <c r="C46" s="821"/>
      <c r="D46" s="46"/>
      <c r="E46" s="1"/>
      <c r="F46" s="326"/>
      <c r="G46" s="1"/>
      <c r="H46" s="3" t="s">
        <v>130</v>
      </c>
      <c r="K46" s="1063"/>
      <c r="L46" s="1064"/>
      <c r="M46" s="3" t="s">
        <v>4</v>
      </c>
      <c r="N46" s="92"/>
      <c r="O46" s="3" t="s">
        <v>131</v>
      </c>
      <c r="Q46" s="3" t="s">
        <v>132</v>
      </c>
      <c r="Y46" s="1"/>
      <c r="Z46" s="1"/>
      <c r="AA46" s="13"/>
      <c r="AB46" s="313"/>
      <c r="AC46" s="313"/>
      <c r="AD46" s="302" t="s">
        <v>387</v>
      </c>
      <c r="AE46" s="302"/>
      <c r="AF46" s="302"/>
      <c r="AG46" s="302"/>
      <c r="AH46" s="302"/>
      <c r="AI46" s="313"/>
      <c r="AJ46" s="313"/>
      <c r="AK46" s="304"/>
      <c r="AL46" s="304"/>
      <c r="AM46" s="304"/>
      <c r="AN46" s="40"/>
    </row>
    <row r="47" spans="2:40" s="3" customFormat="1" ht="9" customHeight="1">
      <c r="B47" s="721"/>
      <c r="C47" s="821"/>
      <c r="D47" s="46"/>
      <c r="E47" s="1"/>
      <c r="F47" s="1"/>
      <c r="G47" s="1"/>
      <c r="H47" s="1"/>
      <c r="I47" s="1"/>
      <c r="J47" s="1"/>
      <c r="K47" s="1"/>
      <c r="L47" s="1"/>
      <c r="M47" s="1"/>
      <c r="N47" s="1"/>
      <c r="O47" s="1"/>
      <c r="P47" s="1"/>
      <c r="Q47" s="1"/>
      <c r="R47" s="1"/>
      <c r="S47" s="1"/>
      <c r="T47" s="1"/>
      <c r="U47" s="1"/>
      <c r="V47" s="1"/>
      <c r="W47" s="1"/>
      <c r="X47" s="1"/>
      <c r="Y47" s="1"/>
      <c r="Z47" s="1"/>
      <c r="AA47" s="13"/>
      <c r="AB47" s="313"/>
      <c r="AC47" s="313"/>
      <c r="AD47" s="302" t="s">
        <v>388</v>
      </c>
      <c r="AE47" s="302"/>
      <c r="AF47" s="302"/>
      <c r="AG47" s="302"/>
      <c r="AH47" s="302"/>
      <c r="AI47" s="313"/>
      <c r="AJ47" s="313"/>
      <c r="AK47" s="304"/>
      <c r="AL47" s="304"/>
      <c r="AM47" s="304"/>
      <c r="AN47" s="40"/>
    </row>
    <row r="48" spans="2:40" s="3" customFormat="1" ht="18" customHeight="1">
      <c r="B48" s="721"/>
      <c r="C48" s="821"/>
      <c r="D48" s="328"/>
      <c r="E48" s="1" t="s">
        <v>133</v>
      </c>
      <c r="F48" s="1"/>
      <c r="G48" s="1"/>
      <c r="H48" s="3" t="s">
        <v>136</v>
      </c>
      <c r="I48" s="34"/>
      <c r="J48" s="34"/>
      <c r="K48" s="1065"/>
      <c r="L48" s="1066"/>
      <c r="M48" s="1066"/>
      <c r="N48" s="1066"/>
      <c r="O48" s="1066"/>
      <c r="P48" s="1066"/>
      <c r="Q48" s="1066"/>
      <c r="R48" s="1066"/>
      <c r="S48" s="1066"/>
      <c r="T48" s="1066"/>
      <c r="U48" s="1066"/>
      <c r="V48" s="1066"/>
      <c r="W48" s="1066"/>
      <c r="X48" s="1066"/>
      <c r="Y48" s="1066"/>
      <c r="Z48" s="1066"/>
      <c r="AA48" s="36" t="s">
        <v>129</v>
      </c>
      <c r="AB48" s="313"/>
      <c r="AC48" s="313"/>
      <c r="AD48" s="302" t="s">
        <v>430</v>
      </c>
      <c r="AE48" s="302"/>
      <c r="AF48" s="313" t="s">
        <v>409</v>
      </c>
      <c r="AG48" s="302" t="s">
        <v>602</v>
      </c>
      <c r="AH48" s="313"/>
      <c r="AI48" s="313"/>
      <c r="AJ48" s="313"/>
      <c r="AK48" s="304"/>
      <c r="AL48" s="304"/>
      <c r="AM48" s="304"/>
      <c r="AN48" s="40"/>
    </row>
    <row r="49" spans="2:40" s="3" customFormat="1" ht="21.75" customHeight="1">
      <c r="B49" s="721"/>
      <c r="C49" s="821"/>
      <c r="D49" s="1"/>
      <c r="E49" s="1"/>
      <c r="F49" s="326"/>
      <c r="G49" s="46"/>
      <c r="H49" s="3" t="s">
        <v>134</v>
      </c>
      <c r="K49" s="1063"/>
      <c r="L49" s="1064"/>
      <c r="M49" s="3" t="s">
        <v>4</v>
      </c>
      <c r="N49" s="92"/>
      <c r="O49" s="3" t="s">
        <v>113</v>
      </c>
      <c r="P49" s="3" t="s">
        <v>135</v>
      </c>
      <c r="R49" s="1067"/>
      <c r="S49" s="1068"/>
      <c r="T49" s="3" t="s">
        <v>4</v>
      </c>
      <c r="U49" s="92"/>
      <c r="V49" s="3" t="s">
        <v>113</v>
      </c>
      <c r="W49" s="3" t="s">
        <v>129</v>
      </c>
      <c r="X49" s="1"/>
      <c r="Y49" s="1"/>
      <c r="Z49" s="1"/>
      <c r="AA49" s="13"/>
      <c r="AB49" s="313"/>
      <c r="AC49" s="313"/>
      <c r="AD49" s="302" t="s">
        <v>389</v>
      </c>
      <c r="AE49" s="302"/>
      <c r="AF49" s="302"/>
      <c r="AG49" s="302"/>
      <c r="AH49" s="302"/>
      <c r="AI49" s="313"/>
      <c r="AJ49" s="313"/>
      <c r="AK49" s="304"/>
      <c r="AL49" s="304"/>
      <c r="AM49" s="304"/>
      <c r="AN49" s="40"/>
    </row>
    <row r="50" spans="2:40" s="1" customFormat="1" ht="21.75" customHeight="1">
      <c r="B50" s="721"/>
      <c r="C50" s="821"/>
      <c r="G50" s="46"/>
      <c r="H50" s="3" t="s">
        <v>398</v>
      </c>
      <c r="M50" s="1063"/>
      <c r="N50" s="1064"/>
      <c r="O50" s="3" t="s">
        <v>4</v>
      </c>
      <c r="P50" s="92"/>
      <c r="Q50" s="3" t="s">
        <v>131</v>
      </c>
      <c r="R50" s="3" t="s">
        <v>137</v>
      </c>
      <c r="Z50" s="53"/>
      <c r="AA50" s="71"/>
      <c r="AB50" s="311"/>
      <c r="AC50" s="311"/>
      <c r="AD50" s="302"/>
      <c r="AE50" s="302"/>
      <c r="AF50" s="302"/>
      <c r="AG50" s="302"/>
      <c r="AH50" s="302"/>
      <c r="AI50" s="303"/>
      <c r="AJ50" s="304"/>
      <c r="AK50" s="304"/>
      <c r="AL50" s="304"/>
      <c r="AM50" s="304"/>
      <c r="AN50" s="53"/>
    </row>
    <row r="51" spans="2:40" s="1" customFormat="1" ht="15" customHeight="1">
      <c r="B51" s="849"/>
      <c r="C51" s="1062"/>
      <c r="D51" s="19"/>
      <c r="E51" s="19"/>
      <c r="F51" s="19"/>
      <c r="G51" s="19"/>
      <c r="H51" s="1069" t="s">
        <v>603</v>
      </c>
      <c r="I51" s="1070"/>
      <c r="J51" s="1070"/>
      <c r="K51" s="952"/>
      <c r="L51" s="952"/>
      <c r="M51" s="952"/>
      <c r="N51" s="952"/>
      <c r="O51" s="952"/>
      <c r="P51" s="952"/>
      <c r="Q51" s="952"/>
      <c r="R51" s="952"/>
      <c r="S51" s="952"/>
      <c r="T51" s="952"/>
      <c r="U51" s="952"/>
      <c r="V51" s="952"/>
      <c r="W51" s="952"/>
      <c r="X51" s="952"/>
      <c r="Y51" s="952"/>
      <c r="Z51" s="952"/>
      <c r="AA51" s="366" t="s">
        <v>604</v>
      </c>
      <c r="AB51" s="311"/>
      <c r="AC51" s="311"/>
      <c r="AD51" s="302"/>
      <c r="AE51" s="302"/>
      <c r="AF51" s="302"/>
      <c r="AG51" s="302"/>
      <c r="AH51" s="302"/>
      <c r="AI51" s="303"/>
      <c r="AJ51" s="304"/>
      <c r="AK51" s="304"/>
      <c r="AL51" s="304"/>
      <c r="AM51" s="304"/>
      <c r="AN51" s="53"/>
    </row>
    <row r="52" spans="2:40" ht="9.4" customHeight="1"/>
    <row r="54" spans="2:40" s="1" customFormat="1" ht="16.5" customHeight="1">
      <c r="B54" s="6" t="s">
        <v>606</v>
      </c>
      <c r="H54" s="7" t="s">
        <v>243</v>
      </c>
      <c r="AB54" s="311"/>
      <c r="AC54" s="311"/>
      <c r="AD54" s="302"/>
      <c r="AE54" s="302"/>
      <c r="AF54" s="302"/>
      <c r="AG54" s="302"/>
      <c r="AH54" s="302"/>
      <c r="AI54" s="303"/>
      <c r="AJ54" s="304"/>
      <c r="AK54" s="304"/>
      <c r="AL54" s="304"/>
      <c r="AM54" s="304"/>
      <c r="AN54" s="53"/>
    </row>
    <row r="55" spans="2:40" s="1" customFormat="1" ht="2.15" customHeight="1">
      <c r="D55" s="138"/>
      <c r="E55" s="138"/>
      <c r="F55" s="138"/>
      <c r="G55" s="138"/>
      <c r="H55" s="138"/>
      <c r="I55" s="138"/>
      <c r="AB55" s="311"/>
      <c r="AC55" s="311"/>
      <c r="AD55" s="302"/>
      <c r="AE55" s="302"/>
      <c r="AF55" s="302"/>
      <c r="AG55" s="302"/>
      <c r="AH55" s="302"/>
      <c r="AI55" s="303"/>
      <c r="AJ55" s="304"/>
      <c r="AK55" s="304"/>
      <c r="AL55" s="304"/>
      <c r="AM55" s="304"/>
      <c r="AN55" s="53"/>
    </row>
    <row r="56" spans="2:40" s="1" customFormat="1" ht="27.75" customHeight="1">
      <c r="B56" s="689" t="s">
        <v>395</v>
      </c>
      <c r="C56" s="820"/>
      <c r="D56" s="678"/>
      <c r="E56" s="679"/>
      <c r="F56" s="679"/>
      <c r="G56" s="679"/>
      <c r="H56" s="679"/>
      <c r="I56" s="680"/>
      <c r="J56" s="689" t="s">
        <v>116</v>
      </c>
      <c r="K56" s="717"/>
      <c r="L56" s="690"/>
      <c r="M56" s="810" t="s">
        <v>572</v>
      </c>
      <c r="N56" s="811"/>
      <c r="O56" s="811"/>
      <c r="P56" s="811"/>
      <c r="Q56" s="811"/>
      <c r="R56" s="811"/>
      <c r="S56" s="811"/>
      <c r="T56" s="811"/>
      <c r="U56" s="811"/>
      <c r="V56" s="811"/>
      <c r="W56" s="811"/>
      <c r="X56" s="811"/>
      <c r="Y56" s="811"/>
      <c r="Z56" s="811"/>
      <c r="AA56" s="812"/>
      <c r="AB56" s="311"/>
      <c r="AC56" s="311"/>
      <c r="AD56" s="302"/>
      <c r="AE56" s="302"/>
      <c r="AF56" s="302"/>
      <c r="AG56" s="302"/>
      <c r="AH56" s="302"/>
      <c r="AI56" s="303"/>
      <c r="AJ56" s="304"/>
      <c r="AK56" s="304"/>
      <c r="AL56" s="304"/>
      <c r="AM56" s="304"/>
      <c r="AN56" s="53"/>
    </row>
    <row r="57" spans="2:40" s="1" customFormat="1" ht="21" customHeight="1">
      <c r="B57" s="721"/>
      <c r="C57" s="821"/>
      <c r="D57" s="681"/>
      <c r="E57" s="682"/>
      <c r="F57" s="682"/>
      <c r="G57" s="682"/>
      <c r="H57" s="682"/>
      <c r="I57" s="683"/>
      <c r="J57" s="693"/>
      <c r="K57" s="718"/>
      <c r="L57" s="692"/>
      <c r="M57" s="325"/>
      <c r="N57" s="131" t="s">
        <v>114</v>
      </c>
      <c r="O57" s="131"/>
      <c r="P57" s="131"/>
      <c r="Q57" s="131"/>
      <c r="R57" s="131"/>
      <c r="S57" s="131"/>
      <c r="T57" s="131"/>
      <c r="U57" s="131"/>
      <c r="V57" s="333"/>
      <c r="W57" s="176"/>
      <c r="X57" s="131"/>
      <c r="Y57" s="131"/>
      <c r="Z57" s="131"/>
      <c r="AA57" s="132"/>
      <c r="AB57" s="311"/>
      <c r="AC57" s="311"/>
      <c r="AD57" s="302"/>
      <c r="AE57" s="311"/>
      <c r="AF57" s="313" t="s">
        <v>409</v>
      </c>
      <c r="AG57" s="302" t="s">
        <v>597</v>
      </c>
      <c r="AH57" s="313"/>
      <c r="AI57" s="303"/>
      <c r="AJ57" s="304"/>
      <c r="AK57" s="304"/>
      <c r="AL57" s="304"/>
      <c r="AM57" s="304"/>
      <c r="AN57" s="53"/>
    </row>
    <row r="58" spans="2:40" s="3" customFormat="1" ht="21" customHeight="1">
      <c r="B58" s="721"/>
      <c r="C58" s="821"/>
      <c r="D58" s="681"/>
      <c r="E58" s="682"/>
      <c r="F58" s="682"/>
      <c r="G58" s="682"/>
      <c r="H58" s="682"/>
      <c r="I58" s="683"/>
      <c r="J58" s="693"/>
      <c r="K58" s="718"/>
      <c r="L58" s="692"/>
      <c r="M58" s="325"/>
      <c r="N58" s="49" t="s">
        <v>115</v>
      </c>
      <c r="O58" s="49"/>
      <c r="P58" s="993" t="s">
        <v>544</v>
      </c>
      <c r="Q58" s="994"/>
      <c r="R58" s="994"/>
      <c r="S58" s="994"/>
      <c r="T58" s="994"/>
      <c r="U58" s="994"/>
      <c r="V58" s="994"/>
      <c r="W58" s="994"/>
      <c r="X58" s="994"/>
      <c r="Y58" s="994"/>
      <c r="Z58" s="994"/>
      <c r="AA58" s="995"/>
      <c r="AB58" s="313"/>
      <c r="AC58" s="313"/>
      <c r="AD58" s="313"/>
      <c r="AE58" s="313"/>
      <c r="AF58" s="313" t="s">
        <v>409</v>
      </c>
      <c r="AG58" s="302" t="s">
        <v>598</v>
      </c>
      <c r="AH58" s="302"/>
      <c r="AI58" s="313"/>
      <c r="AJ58" s="313"/>
      <c r="AK58" s="304"/>
      <c r="AL58" s="304"/>
      <c r="AM58" s="304"/>
      <c r="AN58" s="40"/>
    </row>
    <row r="59" spans="2:40" s="1" customFormat="1" ht="21" customHeight="1">
      <c r="B59" s="721"/>
      <c r="C59" s="821"/>
      <c r="D59" s="681"/>
      <c r="E59" s="682"/>
      <c r="F59" s="682"/>
      <c r="G59" s="682"/>
      <c r="H59" s="682"/>
      <c r="I59" s="683"/>
      <c r="J59" s="693"/>
      <c r="K59" s="718"/>
      <c r="L59" s="692"/>
      <c r="M59" s="136" t="s">
        <v>396</v>
      </c>
      <c r="N59" s="327"/>
      <c r="O59" s="3" t="s">
        <v>142</v>
      </c>
      <c r="P59" s="3"/>
      <c r="V59" s="326"/>
      <c r="W59" s="326"/>
      <c r="X59" s="326"/>
      <c r="Y59" s="53"/>
      <c r="AA59" s="13"/>
      <c r="AB59" s="311"/>
      <c r="AC59" s="302"/>
      <c r="AD59" s="302"/>
      <c r="AE59" s="311"/>
      <c r="AF59" s="313" t="s">
        <v>409</v>
      </c>
      <c r="AG59" s="302" t="s">
        <v>599</v>
      </c>
      <c r="AH59" s="303"/>
      <c r="AI59" s="304"/>
      <c r="AJ59" s="304"/>
      <c r="AK59" s="304"/>
      <c r="AL59" s="304"/>
      <c r="AM59" s="311"/>
    </row>
    <row r="60" spans="2:40" s="3" customFormat="1" ht="21" customHeight="1">
      <c r="B60" s="721"/>
      <c r="C60" s="821"/>
      <c r="D60" s="681"/>
      <c r="E60" s="682"/>
      <c r="F60" s="682"/>
      <c r="G60" s="682"/>
      <c r="H60" s="682"/>
      <c r="I60" s="683"/>
      <c r="J60" s="693"/>
      <c r="K60" s="718"/>
      <c r="L60" s="692"/>
      <c r="M60" s="136" t="s">
        <v>397</v>
      </c>
      <c r="N60" s="327"/>
      <c r="O60" s="3" t="s">
        <v>143</v>
      </c>
      <c r="S60" s="1"/>
      <c r="V60" s="64"/>
      <c r="W60" s="1"/>
      <c r="AA60" s="36"/>
      <c r="AB60" s="313"/>
      <c r="AC60" s="302"/>
      <c r="AD60" s="302"/>
      <c r="AE60" s="313"/>
      <c r="AF60" s="313" t="s">
        <v>409</v>
      </c>
      <c r="AG60" s="302" t="s">
        <v>600</v>
      </c>
      <c r="AH60" s="313"/>
      <c r="AI60" s="313"/>
      <c r="AJ60" s="304"/>
      <c r="AK60" s="304"/>
      <c r="AL60" s="304"/>
      <c r="AM60" s="313"/>
    </row>
    <row r="61" spans="2:40" s="3" customFormat="1" ht="15" customHeight="1">
      <c r="B61" s="721"/>
      <c r="C61" s="821"/>
      <c r="D61" s="681"/>
      <c r="E61" s="682"/>
      <c r="F61" s="682"/>
      <c r="G61" s="682"/>
      <c r="H61" s="682"/>
      <c r="I61" s="683"/>
      <c r="J61" s="693"/>
      <c r="K61" s="718"/>
      <c r="L61" s="692"/>
      <c r="M61" s="35"/>
      <c r="N61" s="2"/>
      <c r="O61" s="3" t="s">
        <v>431</v>
      </c>
      <c r="T61" s="1"/>
      <c r="X61" s="813" t="s">
        <v>433</v>
      </c>
      <c r="Y61" s="814"/>
      <c r="Z61" s="814"/>
      <c r="AA61" s="815"/>
      <c r="AB61" s="313"/>
      <c r="AC61" s="313"/>
      <c r="AD61" s="302"/>
      <c r="AE61" s="302"/>
      <c r="AF61" s="302"/>
      <c r="AG61" s="302"/>
      <c r="AH61" s="302"/>
      <c r="AI61" s="313"/>
      <c r="AJ61" s="313"/>
      <c r="AK61" s="304"/>
      <c r="AL61" s="304"/>
      <c r="AM61" s="304"/>
      <c r="AN61" s="40"/>
    </row>
    <row r="62" spans="2:40" s="3" customFormat="1" ht="15" customHeight="1">
      <c r="B62" s="721"/>
      <c r="C62" s="821"/>
      <c r="D62" s="681"/>
      <c r="E62" s="682"/>
      <c r="F62" s="682"/>
      <c r="G62" s="682"/>
      <c r="H62" s="682"/>
      <c r="I62" s="683"/>
      <c r="J62" s="693"/>
      <c r="K62" s="718"/>
      <c r="L62" s="692"/>
      <c r="M62" s="133"/>
      <c r="N62" s="134"/>
      <c r="O62" s="134" t="s">
        <v>432</v>
      </c>
      <c r="P62" s="134"/>
      <c r="Q62" s="134"/>
      <c r="R62" s="134"/>
      <c r="S62" s="134"/>
      <c r="T62" s="135"/>
      <c r="U62" s="134"/>
      <c r="V62" s="134"/>
      <c r="W62" s="134"/>
      <c r="X62" s="868" t="str">
        <f>IF(M58="○",IF(AND(N59="○",N60="○"),"都外設置ok","都外設置NG"),"")</f>
        <v/>
      </c>
      <c r="Y62" s="869"/>
      <c r="Z62" s="869"/>
      <c r="AA62" s="870"/>
      <c r="AB62" s="313"/>
      <c r="AC62" s="313"/>
      <c r="AD62" s="302"/>
      <c r="AE62" s="302"/>
      <c r="AF62" s="302"/>
      <c r="AG62" s="302"/>
      <c r="AH62" s="302"/>
      <c r="AI62" s="313"/>
      <c r="AJ62" s="313"/>
      <c r="AK62" s="304"/>
      <c r="AL62" s="304"/>
      <c r="AM62" s="304"/>
      <c r="AN62" s="40"/>
    </row>
    <row r="63" spans="2:40" s="3" customFormat="1" ht="4.5" customHeight="1">
      <c r="B63" s="721"/>
      <c r="C63" s="821"/>
      <c r="D63" s="681"/>
      <c r="E63" s="682"/>
      <c r="F63" s="682"/>
      <c r="G63" s="682"/>
      <c r="H63" s="682"/>
      <c r="I63" s="683"/>
      <c r="J63" s="756"/>
      <c r="K63" s="757"/>
      <c r="L63" s="758"/>
      <c r="M63" s="89"/>
      <c r="N63" s="90"/>
      <c r="O63" s="19"/>
      <c r="P63" s="90"/>
      <c r="Q63" s="90"/>
      <c r="R63" s="90"/>
      <c r="S63" s="90"/>
      <c r="T63" s="90"/>
      <c r="U63" s="90"/>
      <c r="V63" s="90"/>
      <c r="W63" s="90"/>
      <c r="X63" s="90"/>
      <c r="Y63" s="90"/>
      <c r="Z63" s="90"/>
      <c r="AA63" s="91"/>
      <c r="AB63" s="313"/>
      <c r="AC63" s="313"/>
      <c r="AD63" s="302"/>
      <c r="AE63" s="302"/>
      <c r="AF63" s="302"/>
      <c r="AG63" s="302"/>
      <c r="AH63" s="302"/>
      <c r="AI63" s="313"/>
      <c r="AJ63" s="313"/>
      <c r="AK63" s="304"/>
      <c r="AL63" s="304"/>
      <c r="AM63" s="304"/>
      <c r="AN63" s="40"/>
    </row>
    <row r="64" spans="2:40" s="1" customFormat="1" ht="18.75" customHeight="1">
      <c r="B64" s="689" t="s">
        <v>439</v>
      </c>
      <c r="C64" s="848"/>
      <c r="D64" s="848"/>
      <c r="E64" s="848"/>
      <c r="F64" s="848"/>
      <c r="G64" s="848"/>
      <c r="H64" s="848"/>
      <c r="I64" s="820"/>
      <c r="J64" s="11" t="s">
        <v>41</v>
      </c>
      <c r="K64" s="1071"/>
      <c r="L64" s="1072"/>
      <c r="M64" s="1072"/>
      <c r="N64" s="1072"/>
      <c r="O64" s="1072"/>
      <c r="P64" s="22"/>
      <c r="Q64" s="22"/>
      <c r="R64" s="22"/>
      <c r="S64" s="22"/>
      <c r="T64" s="22"/>
      <c r="U64" s="22"/>
      <c r="V64" s="22"/>
      <c r="W64" s="22"/>
      <c r="X64" s="22"/>
      <c r="Y64" s="22"/>
      <c r="Z64" s="22"/>
      <c r="AA64" s="12"/>
      <c r="AB64" s="311"/>
      <c r="AC64" s="311"/>
      <c r="AD64" s="302"/>
      <c r="AE64" s="302"/>
      <c r="AF64" s="302"/>
      <c r="AG64" s="302"/>
      <c r="AH64" s="302"/>
      <c r="AI64" s="303"/>
      <c r="AJ64" s="304"/>
      <c r="AK64" s="304"/>
      <c r="AL64" s="304"/>
      <c r="AM64" s="304"/>
      <c r="AN64" s="53"/>
    </row>
    <row r="65" spans="2:40" s="1" customFormat="1" ht="24" customHeight="1">
      <c r="B65" s="849"/>
      <c r="C65" s="850"/>
      <c r="D65" s="851"/>
      <c r="E65" s="851"/>
      <c r="F65" s="851"/>
      <c r="G65" s="851"/>
      <c r="H65" s="851"/>
      <c r="I65" s="821"/>
      <c r="J65" s="988"/>
      <c r="K65" s="983"/>
      <c r="L65" s="983"/>
      <c r="M65" s="989"/>
      <c r="N65" s="989"/>
      <c r="O65" s="989"/>
      <c r="P65" s="989"/>
      <c r="Q65" s="989"/>
      <c r="R65" s="989"/>
      <c r="S65" s="989"/>
      <c r="T65" s="989"/>
      <c r="U65" s="989"/>
      <c r="V65" s="989"/>
      <c r="W65" s="989"/>
      <c r="X65" s="989"/>
      <c r="Y65" s="989"/>
      <c r="Z65" s="989"/>
      <c r="AA65" s="990"/>
      <c r="AB65" s="311"/>
      <c r="AC65" s="311"/>
      <c r="AD65" s="302"/>
      <c r="AE65" s="302"/>
      <c r="AF65" s="302"/>
      <c r="AG65" s="302"/>
      <c r="AH65" s="302"/>
      <c r="AI65" s="303"/>
      <c r="AJ65" s="304"/>
      <c r="AK65" s="304"/>
      <c r="AL65" s="304"/>
      <c r="AM65" s="304"/>
      <c r="AN65" s="53"/>
    </row>
    <row r="66" spans="2:40" s="1" customFormat="1" ht="18" customHeight="1">
      <c r="B66" s="689" t="s">
        <v>117</v>
      </c>
      <c r="C66" s="848"/>
      <c r="D66" s="827"/>
      <c r="E66" s="826"/>
      <c r="F66" s="826"/>
      <c r="G66" s="826"/>
      <c r="H66" s="826"/>
      <c r="I66" s="114" t="s">
        <v>118</v>
      </c>
      <c r="J66" s="826"/>
      <c r="K66" s="826"/>
      <c r="L66" s="826"/>
      <c r="M66" s="114" t="s">
        <v>119</v>
      </c>
      <c r="N66" s="826"/>
      <c r="O66" s="826"/>
      <c r="P66" s="826"/>
      <c r="Q66" s="826"/>
      <c r="R66" s="826"/>
      <c r="S66" s="114" t="s">
        <v>120</v>
      </c>
      <c r="T66" s="114"/>
      <c r="U66" s="114" t="s">
        <v>121</v>
      </c>
      <c r="V66" s="114"/>
      <c r="W66" s="114" t="s">
        <v>122</v>
      </c>
      <c r="X66" s="826"/>
      <c r="Y66" s="982"/>
      <c r="Z66" s="982"/>
      <c r="AA66" s="115" t="s">
        <v>123</v>
      </c>
      <c r="AB66" s="311"/>
      <c r="AC66" s="311"/>
      <c r="AD66" s="302"/>
      <c r="AE66" s="302"/>
      <c r="AF66" s="302"/>
      <c r="AG66" s="302"/>
      <c r="AH66" s="302"/>
      <c r="AI66" s="303"/>
      <c r="AJ66" s="304"/>
      <c r="AK66" s="304"/>
      <c r="AL66" s="304"/>
      <c r="AM66" s="304"/>
      <c r="AN66" s="53"/>
    </row>
    <row r="67" spans="2:40" s="1" customFormat="1" ht="18" customHeight="1">
      <c r="B67" s="691"/>
      <c r="C67" s="851"/>
      <c r="D67" s="830"/>
      <c r="E67" s="831"/>
      <c r="F67" s="831"/>
      <c r="G67" s="831"/>
      <c r="H67" s="831"/>
      <c r="I67" s="116" t="s">
        <v>124</v>
      </c>
      <c r="J67" s="831"/>
      <c r="K67" s="831"/>
      <c r="L67" s="831"/>
      <c r="M67" s="116" t="s">
        <v>125</v>
      </c>
      <c r="N67" s="831"/>
      <c r="O67" s="831"/>
      <c r="P67" s="831"/>
      <c r="Q67" s="831"/>
      <c r="R67" s="831"/>
      <c r="S67" s="4" t="s">
        <v>126</v>
      </c>
      <c r="T67" s="116"/>
      <c r="U67" s="116" t="s">
        <v>121</v>
      </c>
      <c r="V67" s="116"/>
      <c r="W67" s="116" t="s">
        <v>122</v>
      </c>
      <c r="X67" s="831"/>
      <c r="Y67" s="983"/>
      <c r="Z67" s="983"/>
      <c r="AA67" s="117" t="s">
        <v>123</v>
      </c>
      <c r="AB67" s="311"/>
      <c r="AC67" s="311"/>
      <c r="AD67" s="302" t="s">
        <v>383</v>
      </c>
      <c r="AE67" s="302"/>
      <c r="AF67" s="302"/>
      <c r="AG67" s="302"/>
      <c r="AH67" s="302"/>
      <c r="AI67" s="303"/>
      <c r="AJ67" s="304"/>
      <c r="AK67" s="304"/>
      <c r="AL67" s="304"/>
      <c r="AM67" s="304"/>
      <c r="AN67" s="53"/>
    </row>
    <row r="68" spans="2:40" s="1" customFormat="1" ht="18" customHeight="1">
      <c r="B68" s="849"/>
      <c r="C68" s="850"/>
      <c r="D68" s="824" t="s">
        <v>248</v>
      </c>
      <c r="E68" s="825"/>
      <c r="F68" s="825"/>
      <c r="G68" s="825"/>
      <c r="H68" s="825"/>
      <c r="I68" s="828"/>
      <c r="J68" s="828"/>
      <c r="K68" s="828"/>
      <c r="L68" s="828"/>
      <c r="M68" s="828"/>
      <c r="N68" s="828"/>
      <c r="O68" s="828"/>
      <c r="P68" s="828"/>
      <c r="Q68" s="828"/>
      <c r="R68" s="828"/>
      <c r="S68" s="828"/>
      <c r="T68" s="828"/>
      <c r="U68" s="828"/>
      <c r="V68" s="828"/>
      <c r="W68" s="828"/>
      <c r="X68" s="828"/>
      <c r="Y68" s="828"/>
      <c r="Z68" s="828"/>
      <c r="AA68" s="829"/>
      <c r="AB68" s="311"/>
      <c r="AC68" s="311"/>
      <c r="AD68" s="302" t="s">
        <v>384</v>
      </c>
      <c r="AE68" s="302"/>
      <c r="AF68" s="302"/>
      <c r="AG68" s="302"/>
      <c r="AH68" s="302"/>
      <c r="AI68" s="303"/>
      <c r="AJ68" s="304"/>
      <c r="AK68" s="304"/>
      <c r="AL68" s="304"/>
      <c r="AM68" s="304"/>
      <c r="AN68" s="53"/>
    </row>
    <row r="69" spans="2:40" s="1" customFormat="1" ht="9" customHeight="1">
      <c r="B69" s="689" t="s">
        <v>543</v>
      </c>
      <c r="C69" s="820"/>
      <c r="D69" s="22"/>
      <c r="E69" s="22"/>
      <c r="F69" s="22"/>
      <c r="G69" s="22"/>
      <c r="H69" s="22"/>
      <c r="I69" s="22"/>
      <c r="J69" s="22"/>
      <c r="K69" s="22"/>
      <c r="L69" s="22"/>
      <c r="M69" s="22"/>
      <c r="N69" s="22"/>
      <c r="O69" s="22"/>
      <c r="P69" s="22"/>
      <c r="Q69" s="22"/>
      <c r="R69" s="22"/>
      <c r="S69" s="22"/>
      <c r="T69" s="22"/>
      <c r="U69" s="22"/>
      <c r="V69" s="22"/>
      <c r="W69" s="22"/>
      <c r="X69" s="22"/>
      <c r="Y69" s="22"/>
      <c r="Z69" s="22"/>
      <c r="AA69" s="12"/>
      <c r="AB69" s="311"/>
      <c r="AC69" s="311"/>
      <c r="AD69" s="302" t="s">
        <v>385</v>
      </c>
      <c r="AE69" s="302"/>
      <c r="AF69" s="302"/>
      <c r="AG69" s="302"/>
      <c r="AH69" s="302"/>
      <c r="AI69" s="303"/>
      <c r="AJ69" s="304"/>
      <c r="AK69" s="304"/>
      <c r="AL69" s="304"/>
      <c r="AM69" s="304"/>
      <c r="AN69" s="53"/>
    </row>
    <row r="70" spans="2:40" s="1" customFormat="1" ht="18.75" customHeight="1">
      <c r="B70" s="721"/>
      <c r="C70" s="821"/>
      <c r="D70" s="328"/>
      <c r="E70" s="1" t="s">
        <v>127</v>
      </c>
      <c r="H70" s="3" t="s">
        <v>128</v>
      </c>
      <c r="I70" s="3"/>
      <c r="J70" s="3"/>
      <c r="K70" s="1063"/>
      <c r="L70" s="1064"/>
      <c r="M70" s="3" t="s">
        <v>4</v>
      </c>
      <c r="N70" s="92"/>
      <c r="O70" s="3" t="s">
        <v>131</v>
      </c>
      <c r="P70" s="3"/>
      <c r="Q70" s="3"/>
      <c r="R70" s="3"/>
      <c r="S70" s="3"/>
      <c r="T70" s="3"/>
      <c r="U70" s="3"/>
      <c r="V70" s="3"/>
      <c r="W70" s="3"/>
      <c r="X70" s="3"/>
      <c r="AA70" s="13"/>
      <c r="AB70" s="311"/>
      <c r="AC70" s="311"/>
      <c r="AD70" s="302" t="s">
        <v>386</v>
      </c>
      <c r="AE70" s="302"/>
      <c r="AF70" s="313" t="s">
        <v>409</v>
      </c>
      <c r="AG70" s="302" t="s">
        <v>601</v>
      </c>
      <c r="AH70" s="313"/>
      <c r="AI70" s="313"/>
      <c r="AJ70" s="304"/>
      <c r="AK70" s="304"/>
      <c r="AL70" s="304"/>
      <c r="AM70" s="304"/>
      <c r="AN70" s="53"/>
    </row>
    <row r="71" spans="2:40" s="3" customFormat="1" ht="17.25" customHeight="1">
      <c r="B71" s="721"/>
      <c r="C71" s="821"/>
      <c r="D71" s="46"/>
      <c r="E71" s="1"/>
      <c r="F71" s="326"/>
      <c r="G71" s="1"/>
      <c r="H71" s="3" t="s">
        <v>130</v>
      </c>
      <c r="K71" s="1063"/>
      <c r="L71" s="1064"/>
      <c r="M71" s="3" t="s">
        <v>4</v>
      </c>
      <c r="N71" s="92"/>
      <c r="O71" s="3" t="s">
        <v>131</v>
      </c>
      <c r="Q71" s="3" t="s">
        <v>132</v>
      </c>
      <c r="Y71" s="1"/>
      <c r="Z71" s="1"/>
      <c r="AA71" s="13"/>
      <c r="AB71" s="313"/>
      <c r="AC71" s="313"/>
      <c r="AD71" s="302" t="s">
        <v>387</v>
      </c>
      <c r="AE71" s="302"/>
      <c r="AF71" s="302"/>
      <c r="AG71" s="302"/>
      <c r="AH71" s="302"/>
      <c r="AI71" s="313"/>
      <c r="AJ71" s="313"/>
      <c r="AK71" s="304"/>
      <c r="AL71" s="304"/>
      <c r="AM71" s="304"/>
      <c r="AN71" s="40"/>
    </row>
    <row r="72" spans="2:40" s="3" customFormat="1" ht="9" customHeight="1">
      <c r="B72" s="721"/>
      <c r="C72" s="821"/>
      <c r="D72" s="46"/>
      <c r="E72" s="1"/>
      <c r="F72" s="1"/>
      <c r="G72" s="1"/>
      <c r="H72" s="1"/>
      <c r="I72" s="1"/>
      <c r="J72" s="1"/>
      <c r="K72" s="1"/>
      <c r="L72" s="1"/>
      <c r="M72" s="1"/>
      <c r="N72" s="1"/>
      <c r="O72" s="1"/>
      <c r="P72" s="1"/>
      <c r="Q72" s="1"/>
      <c r="R72" s="1"/>
      <c r="S72" s="1"/>
      <c r="T72" s="1"/>
      <c r="U72" s="1"/>
      <c r="V72" s="1"/>
      <c r="W72" s="1"/>
      <c r="X72" s="1"/>
      <c r="Y72" s="1"/>
      <c r="Z72" s="1"/>
      <c r="AA72" s="13"/>
      <c r="AB72" s="313"/>
      <c r="AC72" s="313"/>
      <c r="AD72" s="302" t="s">
        <v>388</v>
      </c>
      <c r="AE72" s="302"/>
      <c r="AF72" s="302"/>
      <c r="AG72" s="302"/>
      <c r="AH72" s="302"/>
      <c r="AI72" s="313"/>
      <c r="AJ72" s="313"/>
      <c r="AK72" s="304"/>
      <c r="AL72" s="304"/>
      <c r="AM72" s="304"/>
      <c r="AN72" s="40"/>
    </row>
    <row r="73" spans="2:40" s="3" customFormat="1" ht="18" customHeight="1">
      <c r="B73" s="721"/>
      <c r="C73" s="821"/>
      <c r="D73" s="328"/>
      <c r="E73" s="1" t="s">
        <v>133</v>
      </c>
      <c r="F73" s="1"/>
      <c r="G73" s="1"/>
      <c r="H73" s="3" t="s">
        <v>136</v>
      </c>
      <c r="I73" s="34"/>
      <c r="J73" s="34"/>
      <c r="K73" s="1065"/>
      <c r="L73" s="1066"/>
      <c r="M73" s="1066"/>
      <c r="N73" s="1066"/>
      <c r="O73" s="1066"/>
      <c r="P73" s="1066"/>
      <c r="Q73" s="1066"/>
      <c r="R73" s="1066"/>
      <c r="S73" s="1066"/>
      <c r="T73" s="1066"/>
      <c r="U73" s="1066"/>
      <c r="V73" s="1066"/>
      <c r="W73" s="1066"/>
      <c r="X73" s="1066"/>
      <c r="Y73" s="1066"/>
      <c r="Z73" s="1066"/>
      <c r="AA73" s="36" t="s">
        <v>129</v>
      </c>
      <c r="AB73" s="313"/>
      <c r="AC73" s="313"/>
      <c r="AD73" s="302" t="s">
        <v>430</v>
      </c>
      <c r="AE73" s="302"/>
      <c r="AF73" s="313" t="s">
        <v>409</v>
      </c>
      <c r="AG73" s="302" t="s">
        <v>602</v>
      </c>
      <c r="AH73" s="313"/>
      <c r="AI73" s="313"/>
      <c r="AJ73" s="313"/>
      <c r="AK73" s="304"/>
      <c r="AL73" s="304"/>
      <c r="AM73" s="304"/>
      <c r="AN73" s="40"/>
    </row>
    <row r="74" spans="2:40" s="3" customFormat="1" ht="21.75" customHeight="1">
      <c r="B74" s="721"/>
      <c r="C74" s="821"/>
      <c r="D74" s="1"/>
      <c r="E74" s="1"/>
      <c r="F74" s="326"/>
      <c r="G74" s="46"/>
      <c r="H74" s="3" t="s">
        <v>134</v>
      </c>
      <c r="K74" s="1063"/>
      <c r="L74" s="1064"/>
      <c r="M74" s="3" t="s">
        <v>4</v>
      </c>
      <c r="N74" s="92"/>
      <c r="O74" s="3" t="s">
        <v>113</v>
      </c>
      <c r="P74" s="3" t="s">
        <v>135</v>
      </c>
      <c r="R74" s="1067"/>
      <c r="S74" s="1068"/>
      <c r="T74" s="3" t="s">
        <v>4</v>
      </c>
      <c r="U74" s="92"/>
      <c r="V74" s="3" t="s">
        <v>113</v>
      </c>
      <c r="W74" s="3" t="s">
        <v>129</v>
      </c>
      <c r="X74" s="1"/>
      <c r="Y74" s="1"/>
      <c r="Z74" s="1"/>
      <c r="AA74" s="13"/>
      <c r="AB74" s="313"/>
      <c r="AC74" s="313"/>
      <c r="AD74" s="302" t="s">
        <v>389</v>
      </c>
      <c r="AE74" s="302"/>
      <c r="AF74" s="302"/>
      <c r="AG74" s="302"/>
      <c r="AH74" s="302"/>
      <c r="AI74" s="313"/>
      <c r="AJ74" s="313"/>
      <c r="AK74" s="304"/>
      <c r="AL74" s="304"/>
      <c r="AM74" s="304"/>
      <c r="AN74" s="40"/>
    </row>
    <row r="75" spans="2:40" s="1" customFormat="1" ht="21.75" customHeight="1">
      <c r="B75" s="721"/>
      <c r="C75" s="821"/>
      <c r="G75" s="46"/>
      <c r="H75" s="3" t="s">
        <v>398</v>
      </c>
      <c r="M75" s="1063"/>
      <c r="N75" s="1064"/>
      <c r="O75" s="3" t="s">
        <v>4</v>
      </c>
      <c r="P75" s="92"/>
      <c r="Q75" s="3" t="s">
        <v>131</v>
      </c>
      <c r="R75" s="3" t="s">
        <v>137</v>
      </c>
      <c r="Z75" s="53"/>
      <c r="AA75" s="71"/>
      <c r="AB75" s="311"/>
      <c r="AC75" s="311"/>
      <c r="AD75" s="302"/>
      <c r="AE75" s="302"/>
      <c r="AF75" s="302"/>
      <c r="AG75" s="302"/>
      <c r="AH75" s="302"/>
      <c r="AI75" s="303"/>
      <c r="AJ75" s="304"/>
      <c r="AK75" s="304"/>
      <c r="AL75" s="304"/>
      <c r="AM75" s="304"/>
      <c r="AN75" s="53"/>
    </row>
    <row r="76" spans="2:40" s="1" customFormat="1" ht="15" customHeight="1">
      <c r="B76" s="849"/>
      <c r="C76" s="1062"/>
      <c r="D76" s="19"/>
      <c r="E76" s="19"/>
      <c r="F76" s="19"/>
      <c r="G76" s="19"/>
      <c r="H76" s="1069" t="s">
        <v>603</v>
      </c>
      <c r="I76" s="1070"/>
      <c r="J76" s="1070"/>
      <c r="K76" s="952"/>
      <c r="L76" s="952"/>
      <c r="M76" s="952"/>
      <c r="N76" s="952"/>
      <c r="O76" s="952"/>
      <c r="P76" s="952"/>
      <c r="Q76" s="952"/>
      <c r="R76" s="952"/>
      <c r="S76" s="952"/>
      <c r="T76" s="952"/>
      <c r="U76" s="952"/>
      <c r="V76" s="952"/>
      <c r="W76" s="952"/>
      <c r="X76" s="952"/>
      <c r="Y76" s="952"/>
      <c r="Z76" s="952"/>
      <c r="AA76" s="366" t="s">
        <v>604</v>
      </c>
      <c r="AB76" s="311"/>
      <c r="AC76" s="311"/>
      <c r="AD76" s="302"/>
      <c r="AE76" s="302"/>
      <c r="AF76" s="302"/>
      <c r="AG76" s="302"/>
      <c r="AH76" s="302"/>
      <c r="AI76" s="303"/>
      <c r="AJ76" s="304"/>
      <c r="AK76" s="304"/>
      <c r="AL76" s="304"/>
      <c r="AM76" s="304"/>
      <c r="AN76" s="53"/>
    </row>
    <row r="77" spans="2:40" ht="21" customHeight="1"/>
    <row r="78" spans="2:40" s="1" customFormat="1" ht="16.5" customHeight="1">
      <c r="B78" s="6" t="s">
        <v>607</v>
      </c>
      <c r="H78" s="7" t="s">
        <v>243</v>
      </c>
      <c r="AB78" s="311"/>
      <c r="AC78" s="311"/>
      <c r="AD78" s="302"/>
      <c r="AE78" s="302"/>
      <c r="AF78" s="302"/>
      <c r="AG78" s="302"/>
      <c r="AH78" s="302"/>
      <c r="AI78" s="303"/>
      <c r="AJ78" s="304"/>
      <c r="AK78" s="304"/>
      <c r="AL78" s="304"/>
      <c r="AM78" s="304"/>
      <c r="AN78" s="53"/>
    </row>
    <row r="79" spans="2:40" s="1" customFormat="1" ht="2.15" customHeight="1">
      <c r="D79" s="138"/>
      <c r="E79" s="138"/>
      <c r="F79" s="138"/>
      <c r="G79" s="138"/>
      <c r="H79" s="138"/>
      <c r="I79" s="138"/>
      <c r="AB79" s="311"/>
      <c r="AC79" s="311"/>
      <c r="AD79" s="302"/>
      <c r="AE79" s="302"/>
      <c r="AF79" s="302"/>
      <c r="AG79" s="302"/>
      <c r="AH79" s="302"/>
      <c r="AI79" s="303"/>
      <c r="AJ79" s="304"/>
      <c r="AK79" s="304"/>
      <c r="AL79" s="304"/>
      <c r="AM79" s="304"/>
      <c r="AN79" s="53"/>
    </row>
    <row r="80" spans="2:40" s="1" customFormat="1" ht="27.75" customHeight="1">
      <c r="B80" s="689" t="s">
        <v>395</v>
      </c>
      <c r="C80" s="820"/>
      <c r="D80" s="678"/>
      <c r="E80" s="679"/>
      <c r="F80" s="679"/>
      <c r="G80" s="679"/>
      <c r="H80" s="679"/>
      <c r="I80" s="680"/>
      <c r="J80" s="689" t="s">
        <v>116</v>
      </c>
      <c r="K80" s="717"/>
      <c r="L80" s="690"/>
      <c r="M80" s="810" t="s">
        <v>572</v>
      </c>
      <c r="N80" s="811"/>
      <c r="O80" s="811"/>
      <c r="P80" s="811"/>
      <c r="Q80" s="811"/>
      <c r="R80" s="811"/>
      <c r="S80" s="811"/>
      <c r="T80" s="811"/>
      <c r="U80" s="811"/>
      <c r="V80" s="811"/>
      <c r="W80" s="811"/>
      <c r="X80" s="811"/>
      <c r="Y80" s="811"/>
      <c r="Z80" s="811"/>
      <c r="AA80" s="812"/>
      <c r="AB80" s="311"/>
      <c r="AC80" s="311"/>
      <c r="AD80" s="302"/>
      <c r="AE80" s="302"/>
      <c r="AF80" s="302"/>
      <c r="AG80" s="302"/>
      <c r="AH80" s="302"/>
      <c r="AI80" s="303"/>
      <c r="AJ80" s="304"/>
      <c r="AK80" s="304"/>
      <c r="AL80" s="304"/>
      <c r="AM80" s="304"/>
      <c r="AN80" s="53"/>
    </row>
    <row r="81" spans="2:40" s="1" customFormat="1" ht="21" customHeight="1">
      <c r="B81" s="721"/>
      <c r="C81" s="821"/>
      <c r="D81" s="681"/>
      <c r="E81" s="682"/>
      <c r="F81" s="682"/>
      <c r="G81" s="682"/>
      <c r="H81" s="682"/>
      <c r="I81" s="683"/>
      <c r="J81" s="693"/>
      <c r="K81" s="718"/>
      <c r="L81" s="692"/>
      <c r="M81" s="325"/>
      <c r="N81" s="131" t="s">
        <v>114</v>
      </c>
      <c r="O81" s="131"/>
      <c r="P81" s="131"/>
      <c r="Q81" s="131"/>
      <c r="R81" s="131"/>
      <c r="S81" s="131"/>
      <c r="T81" s="131"/>
      <c r="U81" s="131"/>
      <c r="V81" s="333"/>
      <c r="W81" s="176"/>
      <c r="X81" s="131"/>
      <c r="Y81" s="131"/>
      <c r="Z81" s="131"/>
      <c r="AA81" s="132"/>
      <c r="AB81" s="311"/>
      <c r="AC81" s="311"/>
      <c r="AD81" s="302"/>
      <c r="AE81" s="311"/>
      <c r="AF81" s="313" t="s">
        <v>409</v>
      </c>
      <c r="AG81" s="302" t="s">
        <v>597</v>
      </c>
      <c r="AH81" s="313"/>
      <c r="AI81" s="303"/>
      <c r="AJ81" s="304"/>
      <c r="AK81" s="304"/>
      <c r="AL81" s="304"/>
      <c r="AM81" s="304"/>
      <c r="AN81" s="53"/>
    </row>
    <row r="82" spans="2:40" s="3" customFormat="1" ht="21" customHeight="1">
      <c r="B82" s="721"/>
      <c r="C82" s="821"/>
      <c r="D82" s="681"/>
      <c r="E82" s="682"/>
      <c r="F82" s="682"/>
      <c r="G82" s="682"/>
      <c r="H82" s="682"/>
      <c r="I82" s="683"/>
      <c r="J82" s="693"/>
      <c r="K82" s="718"/>
      <c r="L82" s="692"/>
      <c r="M82" s="325"/>
      <c r="N82" s="49" t="s">
        <v>115</v>
      </c>
      <c r="O82" s="49"/>
      <c r="P82" s="993" t="s">
        <v>544</v>
      </c>
      <c r="Q82" s="994"/>
      <c r="R82" s="994"/>
      <c r="S82" s="994"/>
      <c r="T82" s="994"/>
      <c r="U82" s="994"/>
      <c r="V82" s="994"/>
      <c r="W82" s="994"/>
      <c r="X82" s="994"/>
      <c r="Y82" s="994"/>
      <c r="Z82" s="994"/>
      <c r="AA82" s="995"/>
      <c r="AB82" s="313"/>
      <c r="AC82" s="313"/>
      <c r="AD82" s="313"/>
      <c r="AE82" s="313"/>
      <c r="AF82" s="313" t="s">
        <v>409</v>
      </c>
      <c r="AG82" s="302" t="s">
        <v>598</v>
      </c>
      <c r="AH82" s="302"/>
      <c r="AI82" s="313"/>
      <c r="AJ82" s="313"/>
      <c r="AK82" s="304"/>
      <c r="AL82" s="304"/>
      <c r="AM82" s="304"/>
      <c r="AN82" s="40"/>
    </row>
    <row r="83" spans="2:40" s="1" customFormat="1" ht="21" customHeight="1">
      <c r="B83" s="721"/>
      <c r="C83" s="821"/>
      <c r="D83" s="681"/>
      <c r="E83" s="682"/>
      <c r="F83" s="682"/>
      <c r="G83" s="682"/>
      <c r="H83" s="682"/>
      <c r="I83" s="683"/>
      <c r="J83" s="693"/>
      <c r="K83" s="718"/>
      <c r="L83" s="692"/>
      <c r="M83" s="136" t="s">
        <v>396</v>
      </c>
      <c r="N83" s="327"/>
      <c r="O83" s="3" t="s">
        <v>142</v>
      </c>
      <c r="P83" s="3"/>
      <c r="V83" s="326"/>
      <c r="W83" s="326"/>
      <c r="X83" s="326"/>
      <c r="Y83" s="53"/>
      <c r="AA83" s="13"/>
      <c r="AB83" s="311"/>
      <c r="AC83" s="302"/>
      <c r="AD83" s="302"/>
      <c r="AE83" s="311"/>
      <c r="AF83" s="313" t="s">
        <v>409</v>
      </c>
      <c r="AG83" s="302" t="s">
        <v>599</v>
      </c>
      <c r="AH83" s="303"/>
      <c r="AI83" s="304"/>
      <c r="AJ83" s="304"/>
      <c r="AK83" s="304"/>
      <c r="AL83" s="304"/>
      <c r="AM83" s="311"/>
    </row>
    <row r="84" spans="2:40" s="3" customFormat="1" ht="21" customHeight="1">
      <c r="B84" s="721"/>
      <c r="C84" s="821"/>
      <c r="D84" s="681"/>
      <c r="E84" s="682"/>
      <c r="F84" s="682"/>
      <c r="G84" s="682"/>
      <c r="H84" s="682"/>
      <c r="I84" s="683"/>
      <c r="J84" s="693"/>
      <c r="K84" s="718"/>
      <c r="L84" s="692"/>
      <c r="M84" s="136" t="s">
        <v>397</v>
      </c>
      <c r="N84" s="327"/>
      <c r="O84" s="3" t="s">
        <v>143</v>
      </c>
      <c r="S84" s="1"/>
      <c r="V84" s="64"/>
      <c r="W84" s="1"/>
      <c r="AA84" s="36"/>
      <c r="AB84" s="313"/>
      <c r="AC84" s="302"/>
      <c r="AD84" s="302"/>
      <c r="AE84" s="313"/>
      <c r="AF84" s="313" t="s">
        <v>409</v>
      </c>
      <c r="AG84" s="302" t="s">
        <v>600</v>
      </c>
      <c r="AH84" s="313"/>
      <c r="AI84" s="313"/>
      <c r="AJ84" s="304"/>
      <c r="AK84" s="304"/>
      <c r="AL84" s="304"/>
      <c r="AM84" s="313"/>
    </row>
    <row r="85" spans="2:40" s="3" customFormat="1" ht="15" customHeight="1">
      <c r="B85" s="721"/>
      <c r="C85" s="821"/>
      <c r="D85" s="681"/>
      <c r="E85" s="682"/>
      <c r="F85" s="682"/>
      <c r="G85" s="682"/>
      <c r="H85" s="682"/>
      <c r="I85" s="683"/>
      <c r="J85" s="693"/>
      <c r="K85" s="718"/>
      <c r="L85" s="692"/>
      <c r="M85" s="35"/>
      <c r="N85" s="2"/>
      <c r="O85" s="3" t="s">
        <v>431</v>
      </c>
      <c r="T85" s="1"/>
      <c r="X85" s="813" t="s">
        <v>433</v>
      </c>
      <c r="Y85" s="814"/>
      <c r="Z85" s="814"/>
      <c r="AA85" s="815"/>
      <c r="AB85" s="313"/>
      <c r="AC85" s="313"/>
      <c r="AD85" s="302"/>
      <c r="AE85" s="302"/>
      <c r="AF85" s="302"/>
      <c r="AG85" s="302"/>
      <c r="AH85" s="302"/>
      <c r="AI85" s="313"/>
      <c r="AJ85" s="313"/>
      <c r="AK85" s="304"/>
      <c r="AL85" s="304"/>
      <c r="AM85" s="304"/>
      <c r="AN85" s="40"/>
    </row>
    <row r="86" spans="2:40" s="3" customFormat="1" ht="15" customHeight="1">
      <c r="B86" s="721"/>
      <c r="C86" s="821"/>
      <c r="D86" s="681"/>
      <c r="E86" s="682"/>
      <c r="F86" s="682"/>
      <c r="G86" s="682"/>
      <c r="H86" s="682"/>
      <c r="I86" s="683"/>
      <c r="J86" s="693"/>
      <c r="K86" s="718"/>
      <c r="L86" s="692"/>
      <c r="M86" s="133"/>
      <c r="N86" s="134"/>
      <c r="O86" s="134" t="s">
        <v>432</v>
      </c>
      <c r="P86" s="134"/>
      <c r="Q86" s="134"/>
      <c r="R86" s="134"/>
      <c r="S86" s="134"/>
      <c r="T86" s="135"/>
      <c r="U86" s="134"/>
      <c r="V86" s="134"/>
      <c r="W86" s="134"/>
      <c r="X86" s="868" t="str">
        <f>IF(M82="○",IF(AND(N83="○",N84="○"),"都外設置ok","都外設置NG"),"")</f>
        <v/>
      </c>
      <c r="Y86" s="869"/>
      <c r="Z86" s="869"/>
      <c r="AA86" s="870"/>
      <c r="AB86" s="313"/>
      <c r="AC86" s="313"/>
      <c r="AD86" s="302"/>
      <c r="AE86" s="302"/>
      <c r="AF86" s="302"/>
      <c r="AG86" s="302"/>
      <c r="AH86" s="302"/>
      <c r="AI86" s="313"/>
      <c r="AJ86" s="313"/>
      <c r="AK86" s="304"/>
      <c r="AL86" s="304"/>
      <c r="AM86" s="304"/>
      <c r="AN86" s="40"/>
    </row>
    <row r="87" spans="2:40" s="3" customFormat="1" ht="4.5" customHeight="1">
      <c r="B87" s="721"/>
      <c r="C87" s="821"/>
      <c r="D87" s="681"/>
      <c r="E87" s="682"/>
      <c r="F87" s="682"/>
      <c r="G87" s="682"/>
      <c r="H87" s="682"/>
      <c r="I87" s="683"/>
      <c r="J87" s="756"/>
      <c r="K87" s="757"/>
      <c r="L87" s="758"/>
      <c r="M87" s="89"/>
      <c r="N87" s="90"/>
      <c r="O87" s="19"/>
      <c r="P87" s="90"/>
      <c r="Q87" s="90"/>
      <c r="R87" s="90"/>
      <c r="S87" s="90"/>
      <c r="T87" s="90"/>
      <c r="U87" s="90"/>
      <c r="V87" s="90"/>
      <c r="W87" s="90"/>
      <c r="X87" s="90"/>
      <c r="Y87" s="90"/>
      <c r="Z87" s="90"/>
      <c r="AA87" s="91"/>
      <c r="AB87" s="313"/>
      <c r="AC87" s="313"/>
      <c r="AD87" s="302"/>
      <c r="AE87" s="302"/>
      <c r="AF87" s="302"/>
      <c r="AG87" s="302"/>
      <c r="AH87" s="302"/>
      <c r="AI87" s="313"/>
      <c r="AJ87" s="313"/>
      <c r="AK87" s="304"/>
      <c r="AL87" s="304"/>
      <c r="AM87" s="304"/>
      <c r="AN87" s="40"/>
    </row>
    <row r="88" spans="2:40" s="1" customFormat="1" ht="18.75" customHeight="1">
      <c r="B88" s="689" t="s">
        <v>439</v>
      </c>
      <c r="C88" s="848"/>
      <c r="D88" s="848"/>
      <c r="E88" s="848"/>
      <c r="F88" s="848"/>
      <c r="G88" s="848"/>
      <c r="H88" s="848"/>
      <c r="I88" s="820"/>
      <c r="J88" s="11" t="s">
        <v>41</v>
      </c>
      <c r="K88" s="1071"/>
      <c r="L88" s="1072"/>
      <c r="M88" s="1072"/>
      <c r="N88" s="1072"/>
      <c r="O88" s="1072"/>
      <c r="P88" s="22"/>
      <c r="Q88" s="22"/>
      <c r="R88" s="22"/>
      <c r="S88" s="22"/>
      <c r="T88" s="22"/>
      <c r="U88" s="22"/>
      <c r="V88" s="22"/>
      <c r="W88" s="22"/>
      <c r="X88" s="22"/>
      <c r="Y88" s="22"/>
      <c r="Z88" s="22"/>
      <c r="AA88" s="12"/>
      <c r="AB88" s="311"/>
      <c r="AC88" s="311"/>
      <c r="AD88" s="302"/>
      <c r="AE88" s="302"/>
      <c r="AF88" s="302"/>
      <c r="AG88" s="302"/>
      <c r="AH88" s="302"/>
      <c r="AI88" s="303"/>
      <c r="AJ88" s="304"/>
      <c r="AK88" s="304"/>
      <c r="AL88" s="304"/>
      <c r="AM88" s="304"/>
      <c r="AN88" s="53"/>
    </row>
    <row r="89" spans="2:40" s="1" customFormat="1" ht="24" customHeight="1">
      <c r="B89" s="849"/>
      <c r="C89" s="850"/>
      <c r="D89" s="851"/>
      <c r="E89" s="851"/>
      <c r="F89" s="851"/>
      <c r="G89" s="851"/>
      <c r="H89" s="851"/>
      <c r="I89" s="821"/>
      <c r="J89" s="988"/>
      <c r="K89" s="983"/>
      <c r="L89" s="983"/>
      <c r="M89" s="989"/>
      <c r="N89" s="989"/>
      <c r="O89" s="989"/>
      <c r="P89" s="989"/>
      <c r="Q89" s="989"/>
      <c r="R89" s="989"/>
      <c r="S89" s="989"/>
      <c r="T89" s="989"/>
      <c r="U89" s="989"/>
      <c r="V89" s="989"/>
      <c r="W89" s="989"/>
      <c r="X89" s="989"/>
      <c r="Y89" s="989"/>
      <c r="Z89" s="989"/>
      <c r="AA89" s="990"/>
      <c r="AB89" s="311"/>
      <c r="AC89" s="311"/>
      <c r="AD89" s="302"/>
      <c r="AE89" s="302"/>
      <c r="AF89" s="302"/>
      <c r="AG89" s="302"/>
      <c r="AH89" s="302"/>
      <c r="AI89" s="303"/>
      <c r="AJ89" s="304"/>
      <c r="AK89" s="304"/>
      <c r="AL89" s="304"/>
      <c r="AM89" s="304"/>
      <c r="AN89" s="53"/>
    </row>
    <row r="90" spans="2:40" s="1" customFormat="1" ht="18" customHeight="1">
      <c r="B90" s="689" t="s">
        <v>117</v>
      </c>
      <c r="C90" s="848"/>
      <c r="D90" s="827"/>
      <c r="E90" s="826"/>
      <c r="F90" s="826"/>
      <c r="G90" s="826"/>
      <c r="H90" s="826"/>
      <c r="I90" s="114" t="s">
        <v>118</v>
      </c>
      <c r="J90" s="826"/>
      <c r="K90" s="826"/>
      <c r="L90" s="826"/>
      <c r="M90" s="114" t="s">
        <v>119</v>
      </c>
      <c r="N90" s="826"/>
      <c r="O90" s="826"/>
      <c r="P90" s="826"/>
      <c r="Q90" s="826"/>
      <c r="R90" s="826"/>
      <c r="S90" s="114" t="s">
        <v>120</v>
      </c>
      <c r="T90" s="114"/>
      <c r="U90" s="114" t="s">
        <v>121</v>
      </c>
      <c r="V90" s="114"/>
      <c r="W90" s="114" t="s">
        <v>122</v>
      </c>
      <c r="X90" s="826"/>
      <c r="Y90" s="982"/>
      <c r="Z90" s="982"/>
      <c r="AA90" s="115" t="s">
        <v>123</v>
      </c>
      <c r="AB90" s="311"/>
      <c r="AC90" s="311"/>
      <c r="AD90" s="302"/>
      <c r="AE90" s="302"/>
      <c r="AF90" s="302"/>
      <c r="AG90" s="302"/>
      <c r="AH90" s="302"/>
      <c r="AI90" s="303"/>
      <c r="AJ90" s="304"/>
      <c r="AK90" s="304"/>
      <c r="AL90" s="304"/>
      <c r="AM90" s="304"/>
      <c r="AN90" s="53"/>
    </row>
    <row r="91" spans="2:40" s="1" customFormat="1" ht="18" customHeight="1">
      <c r="B91" s="691"/>
      <c r="C91" s="851"/>
      <c r="D91" s="830"/>
      <c r="E91" s="831"/>
      <c r="F91" s="831"/>
      <c r="G91" s="831"/>
      <c r="H91" s="831"/>
      <c r="I91" s="116" t="s">
        <v>124</v>
      </c>
      <c r="J91" s="831"/>
      <c r="K91" s="831"/>
      <c r="L91" s="831"/>
      <c r="M91" s="116" t="s">
        <v>125</v>
      </c>
      <c r="N91" s="831"/>
      <c r="O91" s="831"/>
      <c r="P91" s="831"/>
      <c r="Q91" s="831"/>
      <c r="R91" s="831"/>
      <c r="S91" s="4" t="s">
        <v>126</v>
      </c>
      <c r="T91" s="116"/>
      <c r="U91" s="116" t="s">
        <v>121</v>
      </c>
      <c r="V91" s="116"/>
      <c r="W91" s="116" t="s">
        <v>122</v>
      </c>
      <c r="X91" s="831"/>
      <c r="Y91" s="983"/>
      <c r="Z91" s="983"/>
      <c r="AA91" s="117" t="s">
        <v>123</v>
      </c>
      <c r="AB91" s="311"/>
      <c r="AC91" s="311"/>
      <c r="AD91" s="302" t="s">
        <v>383</v>
      </c>
      <c r="AE91" s="302"/>
      <c r="AF91" s="302"/>
      <c r="AG91" s="302"/>
      <c r="AH91" s="302"/>
      <c r="AI91" s="303"/>
      <c r="AJ91" s="304"/>
      <c r="AK91" s="304"/>
      <c r="AL91" s="304"/>
      <c r="AM91" s="304"/>
      <c r="AN91" s="53"/>
    </row>
    <row r="92" spans="2:40" s="1" customFormat="1" ht="18" customHeight="1">
      <c r="B92" s="849"/>
      <c r="C92" s="850"/>
      <c r="D92" s="824" t="s">
        <v>248</v>
      </c>
      <c r="E92" s="825"/>
      <c r="F92" s="825"/>
      <c r="G92" s="825"/>
      <c r="H92" s="825"/>
      <c r="I92" s="828"/>
      <c r="J92" s="828"/>
      <c r="K92" s="828"/>
      <c r="L92" s="828"/>
      <c r="M92" s="828"/>
      <c r="N92" s="828"/>
      <c r="O92" s="828"/>
      <c r="P92" s="828"/>
      <c r="Q92" s="828"/>
      <c r="R92" s="828"/>
      <c r="S92" s="828"/>
      <c r="T92" s="828"/>
      <c r="U92" s="828"/>
      <c r="V92" s="828"/>
      <c r="W92" s="828"/>
      <c r="X92" s="828"/>
      <c r="Y92" s="828"/>
      <c r="Z92" s="828"/>
      <c r="AA92" s="829"/>
      <c r="AB92" s="311"/>
      <c r="AC92" s="311"/>
      <c r="AD92" s="302" t="s">
        <v>384</v>
      </c>
      <c r="AE92" s="302"/>
      <c r="AF92" s="302"/>
      <c r="AG92" s="302"/>
      <c r="AH92" s="302"/>
      <c r="AI92" s="303"/>
      <c r="AJ92" s="304"/>
      <c r="AK92" s="304"/>
      <c r="AL92" s="304"/>
      <c r="AM92" s="304"/>
      <c r="AN92" s="53"/>
    </row>
    <row r="93" spans="2:40" s="1" customFormat="1" ht="9" customHeight="1">
      <c r="B93" s="689" t="s">
        <v>543</v>
      </c>
      <c r="C93" s="820"/>
      <c r="D93" s="22"/>
      <c r="E93" s="22"/>
      <c r="F93" s="22"/>
      <c r="G93" s="22"/>
      <c r="H93" s="22"/>
      <c r="I93" s="22"/>
      <c r="J93" s="22"/>
      <c r="K93" s="22"/>
      <c r="L93" s="22"/>
      <c r="M93" s="22"/>
      <c r="N93" s="22"/>
      <c r="O93" s="22"/>
      <c r="P93" s="22"/>
      <c r="Q93" s="22"/>
      <c r="R93" s="22"/>
      <c r="S93" s="22"/>
      <c r="T93" s="22"/>
      <c r="U93" s="22"/>
      <c r="V93" s="22"/>
      <c r="W93" s="22"/>
      <c r="X93" s="22"/>
      <c r="Y93" s="22"/>
      <c r="Z93" s="22"/>
      <c r="AA93" s="12"/>
      <c r="AB93" s="311"/>
      <c r="AC93" s="311"/>
      <c r="AD93" s="302" t="s">
        <v>385</v>
      </c>
      <c r="AE93" s="302"/>
      <c r="AF93" s="302"/>
      <c r="AG93" s="302"/>
      <c r="AH93" s="302"/>
      <c r="AI93" s="303"/>
      <c r="AJ93" s="304"/>
      <c r="AK93" s="304"/>
      <c r="AL93" s="304"/>
      <c r="AM93" s="304"/>
      <c r="AN93" s="53"/>
    </row>
    <row r="94" spans="2:40" s="1" customFormat="1" ht="18.75" customHeight="1">
      <c r="B94" s="721"/>
      <c r="C94" s="821"/>
      <c r="D94" s="328"/>
      <c r="E94" s="1" t="s">
        <v>127</v>
      </c>
      <c r="H94" s="3" t="s">
        <v>128</v>
      </c>
      <c r="I94" s="3"/>
      <c r="J94" s="3"/>
      <c r="K94" s="1063"/>
      <c r="L94" s="1064"/>
      <c r="M94" s="3" t="s">
        <v>4</v>
      </c>
      <c r="N94" s="92"/>
      <c r="O94" s="3" t="s">
        <v>131</v>
      </c>
      <c r="P94" s="3"/>
      <c r="Q94" s="3"/>
      <c r="R94" s="3"/>
      <c r="S94" s="3"/>
      <c r="T94" s="3"/>
      <c r="U94" s="3"/>
      <c r="V94" s="3"/>
      <c r="W94" s="3"/>
      <c r="X94" s="3"/>
      <c r="AA94" s="13"/>
      <c r="AB94" s="311"/>
      <c r="AC94" s="311"/>
      <c r="AD94" s="302" t="s">
        <v>386</v>
      </c>
      <c r="AE94" s="302"/>
      <c r="AF94" s="313" t="s">
        <v>409</v>
      </c>
      <c r="AG94" s="302" t="s">
        <v>601</v>
      </c>
      <c r="AH94" s="313"/>
      <c r="AI94" s="313"/>
      <c r="AJ94" s="304"/>
      <c r="AK94" s="304"/>
      <c r="AL94" s="304"/>
      <c r="AM94" s="304"/>
      <c r="AN94" s="53"/>
    </row>
    <row r="95" spans="2:40" s="3" customFormat="1" ht="17.25" customHeight="1">
      <c r="B95" s="721"/>
      <c r="C95" s="821"/>
      <c r="D95" s="46"/>
      <c r="E95" s="1"/>
      <c r="F95" s="326"/>
      <c r="G95" s="1"/>
      <c r="H95" s="3" t="s">
        <v>130</v>
      </c>
      <c r="K95" s="1063"/>
      <c r="L95" s="1064"/>
      <c r="M95" s="3" t="s">
        <v>4</v>
      </c>
      <c r="N95" s="92"/>
      <c r="O95" s="3" t="s">
        <v>131</v>
      </c>
      <c r="Q95" s="3" t="s">
        <v>132</v>
      </c>
      <c r="Y95" s="1"/>
      <c r="Z95" s="1"/>
      <c r="AA95" s="13"/>
      <c r="AB95" s="313"/>
      <c r="AC95" s="313"/>
      <c r="AD95" s="302" t="s">
        <v>387</v>
      </c>
      <c r="AE95" s="302"/>
      <c r="AF95" s="302"/>
      <c r="AG95" s="302"/>
      <c r="AH95" s="302"/>
      <c r="AI95" s="313"/>
      <c r="AJ95" s="313"/>
      <c r="AK95" s="304"/>
      <c r="AL95" s="304"/>
      <c r="AM95" s="304"/>
      <c r="AN95" s="40"/>
    </row>
    <row r="96" spans="2:40" s="3" customFormat="1" ht="9" customHeight="1">
      <c r="B96" s="721"/>
      <c r="C96" s="821"/>
      <c r="D96" s="46"/>
      <c r="E96" s="1"/>
      <c r="F96" s="1"/>
      <c r="G96" s="1"/>
      <c r="H96" s="1"/>
      <c r="I96" s="1"/>
      <c r="J96" s="1"/>
      <c r="K96" s="1"/>
      <c r="L96" s="1"/>
      <c r="M96" s="1"/>
      <c r="N96" s="1"/>
      <c r="O96" s="1"/>
      <c r="P96" s="1"/>
      <c r="Q96" s="1"/>
      <c r="R96" s="1"/>
      <c r="S96" s="1"/>
      <c r="T96" s="1"/>
      <c r="U96" s="1"/>
      <c r="V96" s="1"/>
      <c r="W96" s="1"/>
      <c r="X96" s="1"/>
      <c r="Y96" s="1"/>
      <c r="Z96" s="1"/>
      <c r="AA96" s="13"/>
      <c r="AB96" s="313"/>
      <c r="AC96" s="313"/>
      <c r="AD96" s="302" t="s">
        <v>388</v>
      </c>
      <c r="AE96" s="302"/>
      <c r="AF96" s="302"/>
      <c r="AG96" s="302"/>
      <c r="AH96" s="302"/>
      <c r="AI96" s="313"/>
      <c r="AJ96" s="313"/>
      <c r="AK96" s="304"/>
      <c r="AL96" s="304"/>
      <c r="AM96" s="304"/>
      <c r="AN96" s="40"/>
    </row>
    <row r="97" spans="2:40" s="3" customFormat="1" ht="18" customHeight="1">
      <c r="B97" s="721"/>
      <c r="C97" s="821"/>
      <c r="D97" s="328"/>
      <c r="E97" s="1" t="s">
        <v>133</v>
      </c>
      <c r="F97" s="1"/>
      <c r="G97" s="1"/>
      <c r="H97" s="3" t="s">
        <v>136</v>
      </c>
      <c r="I97" s="34"/>
      <c r="J97" s="34"/>
      <c r="K97" s="1065"/>
      <c r="L97" s="1066"/>
      <c r="M97" s="1066"/>
      <c r="N97" s="1066"/>
      <c r="O97" s="1066"/>
      <c r="P97" s="1066"/>
      <c r="Q97" s="1066"/>
      <c r="R97" s="1066"/>
      <c r="S97" s="1066"/>
      <c r="T97" s="1066"/>
      <c r="U97" s="1066"/>
      <c r="V97" s="1066"/>
      <c r="W97" s="1066"/>
      <c r="X97" s="1066"/>
      <c r="Y97" s="1066"/>
      <c r="Z97" s="1066"/>
      <c r="AA97" s="36" t="s">
        <v>129</v>
      </c>
      <c r="AB97" s="313"/>
      <c r="AC97" s="313"/>
      <c r="AD97" s="302" t="s">
        <v>430</v>
      </c>
      <c r="AE97" s="302"/>
      <c r="AF97" s="313" t="s">
        <v>409</v>
      </c>
      <c r="AG97" s="302" t="s">
        <v>602</v>
      </c>
      <c r="AH97" s="313"/>
      <c r="AI97" s="313"/>
      <c r="AJ97" s="313"/>
      <c r="AK97" s="304"/>
      <c r="AL97" s="304"/>
      <c r="AM97" s="304"/>
      <c r="AN97" s="40"/>
    </row>
    <row r="98" spans="2:40" s="3" customFormat="1" ht="21.75" customHeight="1">
      <c r="B98" s="721"/>
      <c r="C98" s="821"/>
      <c r="D98" s="1"/>
      <c r="E98" s="1"/>
      <c r="F98" s="326"/>
      <c r="G98" s="46"/>
      <c r="H98" s="3" t="s">
        <v>134</v>
      </c>
      <c r="K98" s="1063"/>
      <c r="L98" s="1064"/>
      <c r="M98" s="3" t="s">
        <v>4</v>
      </c>
      <c r="N98" s="92"/>
      <c r="O98" s="3" t="s">
        <v>113</v>
      </c>
      <c r="P98" s="3" t="s">
        <v>135</v>
      </c>
      <c r="R98" s="1067"/>
      <c r="S98" s="1068"/>
      <c r="T98" s="3" t="s">
        <v>4</v>
      </c>
      <c r="U98" s="92"/>
      <c r="V98" s="3" t="s">
        <v>113</v>
      </c>
      <c r="W98" s="3" t="s">
        <v>129</v>
      </c>
      <c r="X98" s="1"/>
      <c r="Y98" s="1"/>
      <c r="Z98" s="1"/>
      <c r="AA98" s="13"/>
      <c r="AB98" s="313"/>
      <c r="AC98" s="313"/>
      <c r="AD98" s="302" t="s">
        <v>389</v>
      </c>
      <c r="AE98" s="302"/>
      <c r="AF98" s="302"/>
      <c r="AG98" s="302"/>
      <c r="AH98" s="302"/>
      <c r="AI98" s="313"/>
      <c r="AJ98" s="313"/>
      <c r="AK98" s="304"/>
      <c r="AL98" s="304"/>
      <c r="AM98" s="304"/>
      <c r="AN98" s="40"/>
    </row>
    <row r="99" spans="2:40" s="1" customFormat="1" ht="21.75" customHeight="1">
      <c r="B99" s="721"/>
      <c r="C99" s="821"/>
      <c r="G99" s="46"/>
      <c r="H99" s="3" t="s">
        <v>398</v>
      </c>
      <c r="M99" s="1063"/>
      <c r="N99" s="1064"/>
      <c r="O99" s="3" t="s">
        <v>4</v>
      </c>
      <c r="P99" s="92"/>
      <c r="Q99" s="3" t="s">
        <v>131</v>
      </c>
      <c r="R99" s="3" t="s">
        <v>137</v>
      </c>
      <c r="Z99" s="53"/>
      <c r="AA99" s="71"/>
      <c r="AB99" s="311"/>
      <c r="AC99" s="311"/>
      <c r="AD99" s="302"/>
      <c r="AE99" s="302"/>
      <c r="AF99" s="302"/>
      <c r="AG99" s="302"/>
      <c r="AH99" s="302"/>
      <c r="AI99" s="303"/>
      <c r="AJ99" s="304"/>
      <c r="AK99" s="304"/>
      <c r="AL99" s="304"/>
      <c r="AM99" s="304"/>
      <c r="AN99" s="53"/>
    </row>
    <row r="100" spans="2:40" s="1" customFormat="1" ht="15" customHeight="1">
      <c r="B100" s="849"/>
      <c r="C100" s="1062"/>
      <c r="D100" s="19"/>
      <c r="E100" s="19"/>
      <c r="F100" s="19"/>
      <c r="G100" s="19"/>
      <c r="H100" s="1069" t="s">
        <v>603</v>
      </c>
      <c r="I100" s="1070"/>
      <c r="J100" s="1070"/>
      <c r="K100" s="952"/>
      <c r="L100" s="952"/>
      <c r="M100" s="952"/>
      <c r="N100" s="952"/>
      <c r="O100" s="952"/>
      <c r="P100" s="952"/>
      <c r="Q100" s="952"/>
      <c r="R100" s="952"/>
      <c r="S100" s="952"/>
      <c r="T100" s="952"/>
      <c r="U100" s="952"/>
      <c r="V100" s="952"/>
      <c r="W100" s="952"/>
      <c r="X100" s="952"/>
      <c r="Y100" s="952"/>
      <c r="Z100" s="952"/>
      <c r="AA100" s="366" t="s">
        <v>604</v>
      </c>
      <c r="AB100" s="311"/>
      <c r="AC100" s="311"/>
      <c r="AD100" s="302"/>
      <c r="AE100" s="302"/>
      <c r="AF100" s="302"/>
      <c r="AG100" s="302"/>
      <c r="AH100" s="302"/>
      <c r="AI100" s="303"/>
      <c r="AJ100" s="304"/>
      <c r="AK100" s="304"/>
      <c r="AL100" s="304"/>
      <c r="AM100" s="304"/>
      <c r="AN100" s="53"/>
    </row>
    <row r="101" spans="2:40" s="1" customFormat="1" ht="15" customHeight="1">
      <c r="B101" s="37"/>
      <c r="C101" s="37"/>
      <c r="H101" s="367"/>
      <c r="I101" s="368"/>
      <c r="J101" s="368"/>
      <c r="K101" s="369"/>
      <c r="L101" s="369"/>
      <c r="M101" s="369"/>
      <c r="N101" s="369"/>
      <c r="O101" s="369"/>
      <c r="P101" s="369"/>
      <c r="Q101" s="369"/>
      <c r="R101" s="369"/>
      <c r="S101" s="369"/>
      <c r="T101" s="369"/>
      <c r="U101" s="369"/>
      <c r="V101" s="369"/>
      <c r="W101" s="369"/>
      <c r="X101" s="369"/>
      <c r="Y101" s="369"/>
      <c r="Z101" s="369"/>
      <c r="AA101" s="370"/>
      <c r="AB101" s="311"/>
      <c r="AC101" s="311"/>
      <c r="AD101" s="302"/>
      <c r="AE101" s="302"/>
      <c r="AF101" s="302"/>
      <c r="AG101" s="302"/>
      <c r="AH101" s="302"/>
      <c r="AI101" s="303"/>
      <c r="AJ101" s="304"/>
      <c r="AK101" s="304"/>
      <c r="AL101" s="304"/>
      <c r="AM101" s="304"/>
      <c r="AN101" s="53"/>
    </row>
    <row r="102" spans="2:40" s="1" customFormat="1" ht="15" customHeight="1">
      <c r="B102" s="37"/>
      <c r="C102" s="37"/>
      <c r="H102" s="367"/>
      <c r="I102" s="368"/>
      <c r="J102" s="368"/>
      <c r="K102" s="369"/>
      <c r="L102" s="369"/>
      <c r="M102" s="369"/>
      <c r="N102" s="369"/>
      <c r="O102" s="369"/>
      <c r="P102" s="369"/>
      <c r="Q102" s="369"/>
      <c r="R102" s="369"/>
      <c r="S102" s="369"/>
      <c r="T102" s="369"/>
      <c r="U102" s="369"/>
      <c r="V102" s="369"/>
      <c r="W102" s="369"/>
      <c r="X102" s="369"/>
      <c r="Y102" s="369"/>
      <c r="Z102" s="369"/>
      <c r="AA102" s="370"/>
      <c r="AB102" s="311"/>
      <c r="AC102" s="311"/>
      <c r="AD102" s="302"/>
      <c r="AE102" s="302"/>
      <c r="AF102" s="302"/>
      <c r="AG102" s="302"/>
      <c r="AH102" s="302"/>
      <c r="AI102" s="303"/>
      <c r="AJ102" s="304"/>
      <c r="AK102" s="304"/>
      <c r="AL102" s="304"/>
      <c r="AM102" s="304"/>
      <c r="AN102" s="53"/>
    </row>
    <row r="104" spans="2:40" s="1" customFormat="1" ht="16.5" customHeight="1">
      <c r="B104" s="6" t="s">
        <v>608</v>
      </c>
      <c r="H104" s="7" t="s">
        <v>243</v>
      </c>
      <c r="AB104" s="311"/>
      <c r="AC104" s="311"/>
      <c r="AD104" s="302"/>
      <c r="AE104" s="302"/>
      <c r="AF104" s="302"/>
      <c r="AG104" s="302"/>
      <c r="AH104" s="302"/>
      <c r="AI104" s="303"/>
      <c r="AJ104" s="304"/>
      <c r="AK104" s="304"/>
      <c r="AL104" s="304"/>
      <c r="AM104" s="304"/>
      <c r="AN104" s="53"/>
    </row>
    <row r="105" spans="2:40" s="1" customFormat="1" ht="2.15" customHeight="1">
      <c r="D105" s="138"/>
      <c r="E105" s="138"/>
      <c r="F105" s="138"/>
      <c r="G105" s="138"/>
      <c r="H105" s="138"/>
      <c r="I105" s="138"/>
      <c r="AB105" s="311"/>
      <c r="AC105" s="311"/>
      <c r="AD105" s="302"/>
      <c r="AE105" s="302"/>
      <c r="AF105" s="302"/>
      <c r="AG105" s="302"/>
      <c r="AH105" s="302"/>
      <c r="AI105" s="303"/>
      <c r="AJ105" s="304"/>
      <c r="AK105" s="304"/>
      <c r="AL105" s="304"/>
      <c r="AM105" s="304"/>
      <c r="AN105" s="53"/>
    </row>
    <row r="106" spans="2:40" s="1" customFormat="1" ht="27.75" customHeight="1">
      <c r="B106" s="689" t="s">
        <v>395</v>
      </c>
      <c r="C106" s="820"/>
      <c r="D106" s="678"/>
      <c r="E106" s="679"/>
      <c r="F106" s="679"/>
      <c r="G106" s="679"/>
      <c r="H106" s="679"/>
      <c r="I106" s="680"/>
      <c r="J106" s="689" t="s">
        <v>116</v>
      </c>
      <c r="K106" s="717"/>
      <c r="L106" s="690"/>
      <c r="M106" s="810" t="s">
        <v>572</v>
      </c>
      <c r="N106" s="811"/>
      <c r="O106" s="811"/>
      <c r="P106" s="811"/>
      <c r="Q106" s="811"/>
      <c r="R106" s="811"/>
      <c r="S106" s="811"/>
      <c r="T106" s="811"/>
      <c r="U106" s="811"/>
      <c r="V106" s="811"/>
      <c r="W106" s="811"/>
      <c r="X106" s="811"/>
      <c r="Y106" s="811"/>
      <c r="Z106" s="811"/>
      <c r="AA106" s="812"/>
      <c r="AB106" s="311"/>
      <c r="AC106" s="311"/>
      <c r="AD106" s="302"/>
      <c r="AE106" s="302"/>
      <c r="AF106" s="302"/>
      <c r="AG106" s="302"/>
      <c r="AH106" s="302"/>
      <c r="AI106" s="303"/>
      <c r="AJ106" s="304"/>
      <c r="AK106" s="304"/>
      <c r="AL106" s="304"/>
      <c r="AM106" s="304"/>
      <c r="AN106" s="53"/>
    </row>
    <row r="107" spans="2:40" s="1" customFormat="1" ht="21" customHeight="1">
      <c r="B107" s="721"/>
      <c r="C107" s="821"/>
      <c r="D107" s="681"/>
      <c r="E107" s="682"/>
      <c r="F107" s="682"/>
      <c r="G107" s="682"/>
      <c r="H107" s="682"/>
      <c r="I107" s="683"/>
      <c r="J107" s="693"/>
      <c r="K107" s="718"/>
      <c r="L107" s="692"/>
      <c r="M107" s="325"/>
      <c r="N107" s="131" t="s">
        <v>114</v>
      </c>
      <c r="O107" s="131"/>
      <c r="P107" s="131"/>
      <c r="Q107" s="131"/>
      <c r="R107" s="131"/>
      <c r="S107" s="131"/>
      <c r="T107" s="131"/>
      <c r="U107" s="131"/>
      <c r="V107" s="333"/>
      <c r="W107" s="176"/>
      <c r="X107" s="131"/>
      <c r="Y107" s="131"/>
      <c r="Z107" s="131"/>
      <c r="AA107" s="132"/>
      <c r="AB107" s="311"/>
      <c r="AC107" s="311"/>
      <c r="AD107" s="302"/>
      <c r="AE107" s="311"/>
      <c r="AF107" s="313" t="s">
        <v>409</v>
      </c>
      <c r="AG107" s="302" t="s">
        <v>597</v>
      </c>
      <c r="AH107" s="313"/>
      <c r="AI107" s="303"/>
      <c r="AJ107" s="304"/>
      <c r="AK107" s="304"/>
      <c r="AL107" s="304"/>
      <c r="AM107" s="304"/>
      <c r="AN107" s="53"/>
    </row>
    <row r="108" spans="2:40" s="3" customFormat="1" ht="21" customHeight="1">
      <c r="B108" s="721"/>
      <c r="C108" s="821"/>
      <c r="D108" s="681"/>
      <c r="E108" s="682"/>
      <c r="F108" s="682"/>
      <c r="G108" s="682"/>
      <c r="H108" s="682"/>
      <c r="I108" s="683"/>
      <c r="J108" s="693"/>
      <c r="K108" s="718"/>
      <c r="L108" s="692"/>
      <c r="M108" s="325"/>
      <c r="N108" s="49" t="s">
        <v>115</v>
      </c>
      <c r="O108" s="49"/>
      <c r="P108" s="993" t="s">
        <v>544</v>
      </c>
      <c r="Q108" s="994"/>
      <c r="R108" s="994"/>
      <c r="S108" s="994"/>
      <c r="T108" s="994"/>
      <c r="U108" s="994"/>
      <c r="V108" s="994"/>
      <c r="W108" s="994"/>
      <c r="X108" s="994"/>
      <c r="Y108" s="994"/>
      <c r="Z108" s="994"/>
      <c r="AA108" s="995"/>
      <c r="AB108" s="313"/>
      <c r="AC108" s="313"/>
      <c r="AD108" s="313"/>
      <c r="AE108" s="313"/>
      <c r="AF108" s="313" t="s">
        <v>409</v>
      </c>
      <c r="AG108" s="302" t="s">
        <v>598</v>
      </c>
      <c r="AH108" s="302"/>
      <c r="AI108" s="313"/>
      <c r="AJ108" s="313"/>
      <c r="AK108" s="304"/>
      <c r="AL108" s="304"/>
      <c r="AM108" s="304"/>
      <c r="AN108" s="40"/>
    </row>
    <row r="109" spans="2:40" s="1" customFormat="1" ht="21" customHeight="1">
      <c r="B109" s="721"/>
      <c r="C109" s="821"/>
      <c r="D109" s="681"/>
      <c r="E109" s="682"/>
      <c r="F109" s="682"/>
      <c r="G109" s="682"/>
      <c r="H109" s="682"/>
      <c r="I109" s="683"/>
      <c r="J109" s="693"/>
      <c r="K109" s="718"/>
      <c r="L109" s="692"/>
      <c r="M109" s="136" t="s">
        <v>396</v>
      </c>
      <c r="N109" s="327"/>
      <c r="O109" s="3" t="s">
        <v>142</v>
      </c>
      <c r="P109" s="3"/>
      <c r="V109" s="326"/>
      <c r="W109" s="326"/>
      <c r="X109" s="326"/>
      <c r="Y109" s="53"/>
      <c r="AA109" s="13"/>
      <c r="AB109" s="311"/>
      <c r="AC109" s="302"/>
      <c r="AD109" s="302"/>
      <c r="AE109" s="311"/>
      <c r="AF109" s="313" t="s">
        <v>409</v>
      </c>
      <c r="AG109" s="302" t="s">
        <v>599</v>
      </c>
      <c r="AH109" s="303"/>
      <c r="AI109" s="304"/>
      <c r="AJ109" s="304"/>
      <c r="AK109" s="304"/>
      <c r="AL109" s="304"/>
      <c r="AM109" s="311"/>
    </row>
    <row r="110" spans="2:40" s="3" customFormat="1" ht="21" customHeight="1">
      <c r="B110" s="721"/>
      <c r="C110" s="821"/>
      <c r="D110" s="681"/>
      <c r="E110" s="682"/>
      <c r="F110" s="682"/>
      <c r="G110" s="682"/>
      <c r="H110" s="682"/>
      <c r="I110" s="683"/>
      <c r="J110" s="693"/>
      <c r="K110" s="718"/>
      <c r="L110" s="692"/>
      <c r="M110" s="136" t="s">
        <v>397</v>
      </c>
      <c r="N110" s="327"/>
      <c r="O110" s="3" t="s">
        <v>143</v>
      </c>
      <c r="S110" s="1"/>
      <c r="V110" s="64"/>
      <c r="W110" s="1"/>
      <c r="AA110" s="36"/>
      <c r="AB110" s="313"/>
      <c r="AC110" s="302"/>
      <c r="AD110" s="302"/>
      <c r="AE110" s="313"/>
      <c r="AF110" s="313" t="s">
        <v>409</v>
      </c>
      <c r="AG110" s="302" t="s">
        <v>600</v>
      </c>
      <c r="AH110" s="313"/>
      <c r="AI110" s="313"/>
      <c r="AJ110" s="304"/>
      <c r="AK110" s="304"/>
      <c r="AL110" s="304"/>
      <c r="AM110" s="313"/>
    </row>
    <row r="111" spans="2:40" s="3" customFormat="1" ht="15" customHeight="1">
      <c r="B111" s="721"/>
      <c r="C111" s="821"/>
      <c r="D111" s="681"/>
      <c r="E111" s="682"/>
      <c r="F111" s="682"/>
      <c r="G111" s="682"/>
      <c r="H111" s="682"/>
      <c r="I111" s="683"/>
      <c r="J111" s="693"/>
      <c r="K111" s="718"/>
      <c r="L111" s="692"/>
      <c r="M111" s="35"/>
      <c r="N111" s="2"/>
      <c r="O111" s="3" t="s">
        <v>431</v>
      </c>
      <c r="T111" s="1"/>
      <c r="X111" s="813" t="s">
        <v>433</v>
      </c>
      <c r="Y111" s="814"/>
      <c r="Z111" s="814"/>
      <c r="AA111" s="815"/>
      <c r="AB111" s="313"/>
      <c r="AC111" s="313"/>
      <c r="AD111" s="302"/>
      <c r="AE111" s="302"/>
      <c r="AF111" s="302"/>
      <c r="AG111" s="302"/>
      <c r="AH111" s="302"/>
      <c r="AI111" s="313"/>
      <c r="AJ111" s="313"/>
      <c r="AK111" s="304"/>
      <c r="AL111" s="304"/>
      <c r="AM111" s="304"/>
      <c r="AN111" s="40"/>
    </row>
    <row r="112" spans="2:40" s="3" customFormat="1" ht="15" customHeight="1">
      <c r="B112" s="721"/>
      <c r="C112" s="821"/>
      <c r="D112" s="681"/>
      <c r="E112" s="682"/>
      <c r="F112" s="682"/>
      <c r="G112" s="682"/>
      <c r="H112" s="682"/>
      <c r="I112" s="683"/>
      <c r="J112" s="693"/>
      <c r="K112" s="718"/>
      <c r="L112" s="692"/>
      <c r="M112" s="133"/>
      <c r="N112" s="134"/>
      <c r="O112" s="134" t="s">
        <v>432</v>
      </c>
      <c r="P112" s="134"/>
      <c r="Q112" s="134"/>
      <c r="R112" s="134"/>
      <c r="S112" s="134"/>
      <c r="T112" s="135"/>
      <c r="U112" s="134"/>
      <c r="V112" s="134"/>
      <c r="W112" s="134"/>
      <c r="X112" s="868" t="str">
        <f>IF(M108="○",IF(AND(N109="○",N110="○"),"都外設置ok","都外設置NG"),"")</f>
        <v/>
      </c>
      <c r="Y112" s="869"/>
      <c r="Z112" s="869"/>
      <c r="AA112" s="870"/>
      <c r="AB112" s="313"/>
      <c r="AC112" s="313"/>
      <c r="AD112" s="302"/>
      <c r="AE112" s="302"/>
      <c r="AF112" s="302"/>
      <c r="AG112" s="302"/>
      <c r="AH112" s="302"/>
      <c r="AI112" s="313"/>
      <c r="AJ112" s="313"/>
      <c r="AK112" s="304"/>
      <c r="AL112" s="304"/>
      <c r="AM112" s="304"/>
      <c r="AN112" s="40"/>
    </row>
    <row r="113" spans="2:40" s="3" customFormat="1" ht="4.5" customHeight="1">
      <c r="B113" s="721"/>
      <c r="C113" s="821"/>
      <c r="D113" s="681"/>
      <c r="E113" s="682"/>
      <c r="F113" s="682"/>
      <c r="G113" s="682"/>
      <c r="H113" s="682"/>
      <c r="I113" s="683"/>
      <c r="J113" s="756"/>
      <c r="K113" s="757"/>
      <c r="L113" s="758"/>
      <c r="M113" s="89"/>
      <c r="N113" s="90"/>
      <c r="O113" s="19"/>
      <c r="P113" s="90"/>
      <c r="Q113" s="90"/>
      <c r="R113" s="90"/>
      <c r="S113" s="90"/>
      <c r="T113" s="90"/>
      <c r="U113" s="90"/>
      <c r="V113" s="90"/>
      <c r="W113" s="90"/>
      <c r="X113" s="90"/>
      <c r="Y113" s="90"/>
      <c r="Z113" s="90"/>
      <c r="AA113" s="91"/>
      <c r="AB113" s="313"/>
      <c r="AC113" s="313"/>
      <c r="AD113" s="302"/>
      <c r="AE113" s="302"/>
      <c r="AF113" s="302"/>
      <c r="AG113" s="302"/>
      <c r="AH113" s="302"/>
      <c r="AI113" s="313"/>
      <c r="AJ113" s="313"/>
      <c r="AK113" s="304"/>
      <c r="AL113" s="304"/>
      <c r="AM113" s="304"/>
      <c r="AN113" s="40"/>
    </row>
    <row r="114" spans="2:40" s="1" customFormat="1" ht="18.75" customHeight="1">
      <c r="B114" s="689" t="s">
        <v>439</v>
      </c>
      <c r="C114" s="848"/>
      <c r="D114" s="848"/>
      <c r="E114" s="848"/>
      <c r="F114" s="848"/>
      <c r="G114" s="848"/>
      <c r="H114" s="848"/>
      <c r="I114" s="820"/>
      <c r="J114" s="11" t="s">
        <v>41</v>
      </c>
      <c r="K114" s="1071"/>
      <c r="L114" s="1072"/>
      <c r="M114" s="1072"/>
      <c r="N114" s="1072"/>
      <c r="O114" s="1072"/>
      <c r="P114" s="22"/>
      <c r="Q114" s="22"/>
      <c r="R114" s="22"/>
      <c r="S114" s="22"/>
      <c r="T114" s="22"/>
      <c r="U114" s="22"/>
      <c r="V114" s="22"/>
      <c r="W114" s="22"/>
      <c r="X114" s="22"/>
      <c r="Y114" s="22"/>
      <c r="Z114" s="22"/>
      <c r="AA114" s="12"/>
      <c r="AB114" s="311"/>
      <c r="AC114" s="311"/>
      <c r="AD114" s="302"/>
      <c r="AE114" s="302"/>
      <c r="AF114" s="302"/>
      <c r="AG114" s="302"/>
      <c r="AH114" s="302"/>
      <c r="AI114" s="303"/>
      <c r="AJ114" s="304"/>
      <c r="AK114" s="304"/>
      <c r="AL114" s="304"/>
      <c r="AM114" s="304"/>
      <c r="AN114" s="53"/>
    </row>
    <row r="115" spans="2:40" s="1" customFormat="1" ht="24" customHeight="1">
      <c r="B115" s="849"/>
      <c r="C115" s="850"/>
      <c r="D115" s="851"/>
      <c r="E115" s="851"/>
      <c r="F115" s="851"/>
      <c r="G115" s="851"/>
      <c r="H115" s="851"/>
      <c r="I115" s="821"/>
      <c r="J115" s="988"/>
      <c r="K115" s="983"/>
      <c r="L115" s="983"/>
      <c r="M115" s="989"/>
      <c r="N115" s="989"/>
      <c r="O115" s="989"/>
      <c r="P115" s="989"/>
      <c r="Q115" s="989"/>
      <c r="R115" s="989"/>
      <c r="S115" s="989"/>
      <c r="T115" s="989"/>
      <c r="U115" s="989"/>
      <c r="V115" s="989"/>
      <c r="W115" s="989"/>
      <c r="X115" s="989"/>
      <c r="Y115" s="989"/>
      <c r="Z115" s="989"/>
      <c r="AA115" s="990"/>
      <c r="AB115" s="311"/>
      <c r="AC115" s="311"/>
      <c r="AD115" s="302"/>
      <c r="AE115" s="302"/>
      <c r="AF115" s="302"/>
      <c r="AG115" s="302"/>
      <c r="AH115" s="302"/>
      <c r="AI115" s="303"/>
      <c r="AJ115" s="304"/>
      <c r="AK115" s="304"/>
      <c r="AL115" s="304"/>
      <c r="AM115" s="304"/>
      <c r="AN115" s="53"/>
    </row>
    <row r="116" spans="2:40" s="1" customFormat="1" ht="18" customHeight="1">
      <c r="B116" s="689" t="s">
        <v>117</v>
      </c>
      <c r="C116" s="848"/>
      <c r="D116" s="827"/>
      <c r="E116" s="826"/>
      <c r="F116" s="826"/>
      <c r="G116" s="826"/>
      <c r="H116" s="826"/>
      <c r="I116" s="114" t="s">
        <v>118</v>
      </c>
      <c r="J116" s="826"/>
      <c r="K116" s="826"/>
      <c r="L116" s="826"/>
      <c r="M116" s="114" t="s">
        <v>119</v>
      </c>
      <c r="N116" s="826"/>
      <c r="O116" s="826"/>
      <c r="P116" s="826"/>
      <c r="Q116" s="826"/>
      <c r="R116" s="826"/>
      <c r="S116" s="114" t="s">
        <v>120</v>
      </c>
      <c r="T116" s="114"/>
      <c r="U116" s="114" t="s">
        <v>121</v>
      </c>
      <c r="V116" s="114"/>
      <c r="W116" s="114" t="s">
        <v>122</v>
      </c>
      <c r="X116" s="826"/>
      <c r="Y116" s="982"/>
      <c r="Z116" s="982"/>
      <c r="AA116" s="115" t="s">
        <v>123</v>
      </c>
      <c r="AB116" s="311"/>
      <c r="AC116" s="311"/>
      <c r="AD116" s="302"/>
      <c r="AE116" s="302"/>
      <c r="AF116" s="302"/>
      <c r="AG116" s="302"/>
      <c r="AH116" s="302"/>
      <c r="AI116" s="303"/>
      <c r="AJ116" s="304"/>
      <c r="AK116" s="304"/>
      <c r="AL116" s="304"/>
      <c r="AM116" s="304"/>
      <c r="AN116" s="53"/>
    </row>
    <row r="117" spans="2:40" s="1" customFormat="1" ht="18" customHeight="1">
      <c r="B117" s="691"/>
      <c r="C117" s="851"/>
      <c r="D117" s="830"/>
      <c r="E117" s="831"/>
      <c r="F117" s="831"/>
      <c r="G117" s="831"/>
      <c r="H117" s="831"/>
      <c r="I117" s="116" t="s">
        <v>124</v>
      </c>
      <c r="J117" s="831"/>
      <c r="K117" s="831"/>
      <c r="L117" s="831"/>
      <c r="M117" s="116" t="s">
        <v>125</v>
      </c>
      <c r="N117" s="831"/>
      <c r="O117" s="831"/>
      <c r="P117" s="831"/>
      <c r="Q117" s="831"/>
      <c r="R117" s="831"/>
      <c r="S117" s="4" t="s">
        <v>126</v>
      </c>
      <c r="T117" s="116"/>
      <c r="U117" s="116" t="s">
        <v>121</v>
      </c>
      <c r="V117" s="116"/>
      <c r="W117" s="116" t="s">
        <v>122</v>
      </c>
      <c r="X117" s="831"/>
      <c r="Y117" s="983"/>
      <c r="Z117" s="983"/>
      <c r="AA117" s="117" t="s">
        <v>123</v>
      </c>
      <c r="AB117" s="311"/>
      <c r="AC117" s="311"/>
      <c r="AD117" s="302" t="s">
        <v>383</v>
      </c>
      <c r="AE117" s="302"/>
      <c r="AF117" s="302"/>
      <c r="AG117" s="302"/>
      <c r="AH117" s="302"/>
      <c r="AI117" s="303"/>
      <c r="AJ117" s="304"/>
      <c r="AK117" s="304"/>
      <c r="AL117" s="304"/>
      <c r="AM117" s="304"/>
      <c r="AN117" s="53"/>
    </row>
    <row r="118" spans="2:40" s="1" customFormat="1" ht="18" customHeight="1">
      <c r="B118" s="849"/>
      <c r="C118" s="850"/>
      <c r="D118" s="824" t="s">
        <v>248</v>
      </c>
      <c r="E118" s="825"/>
      <c r="F118" s="825"/>
      <c r="G118" s="825"/>
      <c r="H118" s="825"/>
      <c r="I118" s="828"/>
      <c r="J118" s="828"/>
      <c r="K118" s="828"/>
      <c r="L118" s="828"/>
      <c r="M118" s="828"/>
      <c r="N118" s="828"/>
      <c r="O118" s="828"/>
      <c r="P118" s="828"/>
      <c r="Q118" s="828"/>
      <c r="R118" s="828"/>
      <c r="S118" s="828"/>
      <c r="T118" s="828"/>
      <c r="U118" s="828"/>
      <c r="V118" s="828"/>
      <c r="W118" s="828"/>
      <c r="X118" s="828"/>
      <c r="Y118" s="828"/>
      <c r="Z118" s="828"/>
      <c r="AA118" s="829"/>
      <c r="AB118" s="311"/>
      <c r="AC118" s="311"/>
      <c r="AD118" s="302" t="s">
        <v>384</v>
      </c>
      <c r="AE118" s="302"/>
      <c r="AF118" s="302"/>
      <c r="AG118" s="302"/>
      <c r="AH118" s="302"/>
      <c r="AI118" s="303"/>
      <c r="AJ118" s="304"/>
      <c r="AK118" s="304"/>
      <c r="AL118" s="304"/>
      <c r="AM118" s="304"/>
      <c r="AN118" s="53"/>
    </row>
    <row r="119" spans="2:40" s="1" customFormat="1" ht="9" customHeight="1">
      <c r="B119" s="689" t="s">
        <v>543</v>
      </c>
      <c r="C119" s="820"/>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12"/>
      <c r="AB119" s="311"/>
      <c r="AC119" s="311"/>
      <c r="AD119" s="302" t="s">
        <v>385</v>
      </c>
      <c r="AE119" s="302"/>
      <c r="AF119" s="302"/>
      <c r="AG119" s="302"/>
      <c r="AH119" s="302"/>
      <c r="AI119" s="303"/>
      <c r="AJ119" s="304"/>
      <c r="AK119" s="304"/>
      <c r="AL119" s="304"/>
      <c r="AM119" s="304"/>
      <c r="AN119" s="53"/>
    </row>
    <row r="120" spans="2:40" s="1" customFormat="1" ht="18.75" customHeight="1">
      <c r="B120" s="721"/>
      <c r="C120" s="821"/>
      <c r="D120" s="328"/>
      <c r="E120" s="1" t="s">
        <v>127</v>
      </c>
      <c r="H120" s="3" t="s">
        <v>128</v>
      </c>
      <c r="I120" s="3"/>
      <c r="J120" s="3"/>
      <c r="K120" s="1063"/>
      <c r="L120" s="1064"/>
      <c r="M120" s="3" t="s">
        <v>4</v>
      </c>
      <c r="N120" s="92"/>
      <c r="O120" s="3" t="s">
        <v>131</v>
      </c>
      <c r="P120" s="3"/>
      <c r="Q120" s="3"/>
      <c r="R120" s="3"/>
      <c r="S120" s="3"/>
      <c r="T120" s="3"/>
      <c r="U120" s="3"/>
      <c r="V120" s="3"/>
      <c r="W120" s="3"/>
      <c r="X120" s="3"/>
      <c r="AA120" s="13"/>
      <c r="AB120" s="311"/>
      <c r="AC120" s="311"/>
      <c r="AD120" s="302" t="s">
        <v>386</v>
      </c>
      <c r="AE120" s="302"/>
      <c r="AF120" s="313" t="s">
        <v>409</v>
      </c>
      <c r="AG120" s="302" t="s">
        <v>601</v>
      </c>
      <c r="AH120" s="313"/>
      <c r="AI120" s="313"/>
      <c r="AJ120" s="304"/>
      <c r="AK120" s="304"/>
      <c r="AL120" s="304"/>
      <c r="AM120" s="304"/>
      <c r="AN120" s="53"/>
    </row>
    <row r="121" spans="2:40" s="3" customFormat="1" ht="17.25" customHeight="1">
      <c r="B121" s="721"/>
      <c r="C121" s="821"/>
      <c r="D121" s="46"/>
      <c r="E121" s="1"/>
      <c r="F121" s="326"/>
      <c r="G121" s="1"/>
      <c r="H121" s="3" t="s">
        <v>130</v>
      </c>
      <c r="K121" s="1063"/>
      <c r="L121" s="1064"/>
      <c r="M121" s="3" t="s">
        <v>4</v>
      </c>
      <c r="N121" s="92"/>
      <c r="O121" s="3" t="s">
        <v>131</v>
      </c>
      <c r="Q121" s="3" t="s">
        <v>132</v>
      </c>
      <c r="Y121" s="1"/>
      <c r="Z121" s="1"/>
      <c r="AA121" s="13"/>
      <c r="AB121" s="313"/>
      <c r="AC121" s="313"/>
      <c r="AD121" s="302" t="s">
        <v>387</v>
      </c>
      <c r="AE121" s="302"/>
      <c r="AF121" s="302"/>
      <c r="AG121" s="302"/>
      <c r="AH121" s="302"/>
      <c r="AI121" s="313"/>
      <c r="AJ121" s="313"/>
      <c r="AK121" s="304"/>
      <c r="AL121" s="304"/>
      <c r="AM121" s="304"/>
      <c r="AN121" s="40"/>
    </row>
    <row r="122" spans="2:40" s="3" customFormat="1" ht="9" customHeight="1">
      <c r="B122" s="721"/>
      <c r="C122" s="821"/>
      <c r="D122" s="46"/>
      <c r="E122" s="1"/>
      <c r="F122" s="1"/>
      <c r="G122" s="1"/>
      <c r="H122" s="1"/>
      <c r="I122" s="1"/>
      <c r="J122" s="1"/>
      <c r="K122" s="1"/>
      <c r="L122" s="1"/>
      <c r="M122" s="1"/>
      <c r="N122" s="1"/>
      <c r="O122" s="1"/>
      <c r="P122" s="1"/>
      <c r="Q122" s="1"/>
      <c r="R122" s="1"/>
      <c r="S122" s="1"/>
      <c r="T122" s="1"/>
      <c r="U122" s="1"/>
      <c r="V122" s="1"/>
      <c r="W122" s="1"/>
      <c r="X122" s="1"/>
      <c r="Y122" s="1"/>
      <c r="Z122" s="1"/>
      <c r="AA122" s="13"/>
      <c r="AB122" s="313"/>
      <c r="AC122" s="313"/>
      <c r="AD122" s="302" t="s">
        <v>388</v>
      </c>
      <c r="AE122" s="302"/>
      <c r="AF122" s="302"/>
      <c r="AG122" s="302"/>
      <c r="AH122" s="302"/>
      <c r="AI122" s="313"/>
      <c r="AJ122" s="313"/>
      <c r="AK122" s="304"/>
      <c r="AL122" s="304"/>
      <c r="AM122" s="304"/>
      <c r="AN122" s="40"/>
    </row>
    <row r="123" spans="2:40" s="3" customFormat="1" ht="18" customHeight="1">
      <c r="B123" s="721"/>
      <c r="C123" s="821"/>
      <c r="D123" s="328"/>
      <c r="E123" s="1" t="s">
        <v>133</v>
      </c>
      <c r="F123" s="1"/>
      <c r="G123" s="1"/>
      <c r="H123" s="3" t="s">
        <v>136</v>
      </c>
      <c r="I123" s="34"/>
      <c r="J123" s="34"/>
      <c r="K123" s="1065"/>
      <c r="L123" s="1066"/>
      <c r="M123" s="1066"/>
      <c r="N123" s="1066"/>
      <c r="O123" s="1066"/>
      <c r="P123" s="1066"/>
      <c r="Q123" s="1066"/>
      <c r="R123" s="1066"/>
      <c r="S123" s="1066"/>
      <c r="T123" s="1066"/>
      <c r="U123" s="1066"/>
      <c r="V123" s="1066"/>
      <c r="W123" s="1066"/>
      <c r="X123" s="1066"/>
      <c r="Y123" s="1066"/>
      <c r="Z123" s="1066"/>
      <c r="AA123" s="36" t="s">
        <v>129</v>
      </c>
      <c r="AB123" s="313"/>
      <c r="AC123" s="313"/>
      <c r="AD123" s="302" t="s">
        <v>430</v>
      </c>
      <c r="AE123" s="302"/>
      <c r="AF123" s="313" t="s">
        <v>409</v>
      </c>
      <c r="AG123" s="302" t="s">
        <v>602</v>
      </c>
      <c r="AH123" s="313"/>
      <c r="AI123" s="313"/>
      <c r="AJ123" s="313"/>
      <c r="AK123" s="304"/>
      <c r="AL123" s="304"/>
      <c r="AM123" s="304"/>
      <c r="AN123" s="40"/>
    </row>
    <row r="124" spans="2:40" s="3" customFormat="1" ht="21.75" customHeight="1">
      <c r="B124" s="721"/>
      <c r="C124" s="821"/>
      <c r="D124" s="1"/>
      <c r="E124" s="1"/>
      <c r="F124" s="326"/>
      <c r="G124" s="46"/>
      <c r="H124" s="3" t="s">
        <v>134</v>
      </c>
      <c r="K124" s="1063"/>
      <c r="L124" s="1064"/>
      <c r="M124" s="3" t="s">
        <v>4</v>
      </c>
      <c r="N124" s="92"/>
      <c r="O124" s="3" t="s">
        <v>113</v>
      </c>
      <c r="P124" s="3" t="s">
        <v>135</v>
      </c>
      <c r="R124" s="1067"/>
      <c r="S124" s="1068"/>
      <c r="T124" s="3" t="s">
        <v>4</v>
      </c>
      <c r="U124" s="92"/>
      <c r="V124" s="3" t="s">
        <v>113</v>
      </c>
      <c r="W124" s="3" t="s">
        <v>129</v>
      </c>
      <c r="X124" s="1"/>
      <c r="Y124" s="1"/>
      <c r="Z124" s="1"/>
      <c r="AA124" s="13"/>
      <c r="AB124" s="313"/>
      <c r="AC124" s="313"/>
      <c r="AD124" s="302" t="s">
        <v>389</v>
      </c>
      <c r="AE124" s="302"/>
      <c r="AF124" s="302"/>
      <c r="AG124" s="302"/>
      <c r="AH124" s="302"/>
      <c r="AI124" s="313"/>
      <c r="AJ124" s="313"/>
      <c r="AK124" s="304"/>
      <c r="AL124" s="304"/>
      <c r="AM124" s="304"/>
      <c r="AN124" s="40"/>
    </row>
    <row r="125" spans="2:40" s="1" customFormat="1" ht="21.75" customHeight="1">
      <c r="B125" s="721"/>
      <c r="C125" s="821"/>
      <c r="G125" s="46"/>
      <c r="H125" s="3" t="s">
        <v>398</v>
      </c>
      <c r="M125" s="1063"/>
      <c r="N125" s="1064"/>
      <c r="O125" s="3" t="s">
        <v>4</v>
      </c>
      <c r="P125" s="92"/>
      <c r="Q125" s="3" t="s">
        <v>131</v>
      </c>
      <c r="R125" s="3" t="s">
        <v>137</v>
      </c>
      <c r="Z125" s="53"/>
      <c r="AA125" s="71"/>
      <c r="AB125" s="311"/>
      <c r="AC125" s="311"/>
      <c r="AD125" s="302"/>
      <c r="AE125" s="302"/>
      <c r="AF125" s="302"/>
      <c r="AG125" s="302"/>
      <c r="AH125" s="302"/>
      <c r="AI125" s="303"/>
      <c r="AJ125" s="304"/>
      <c r="AK125" s="304"/>
      <c r="AL125" s="304"/>
      <c r="AM125" s="304"/>
      <c r="AN125" s="53"/>
    </row>
    <row r="126" spans="2:40" s="1" customFormat="1" ht="15" customHeight="1">
      <c r="B126" s="849"/>
      <c r="C126" s="1062"/>
      <c r="D126" s="19"/>
      <c r="E126" s="19"/>
      <c r="F126" s="19"/>
      <c r="G126" s="19"/>
      <c r="H126" s="1069" t="s">
        <v>603</v>
      </c>
      <c r="I126" s="1070"/>
      <c r="J126" s="1070"/>
      <c r="K126" s="952"/>
      <c r="L126" s="952"/>
      <c r="M126" s="952"/>
      <c r="N126" s="952"/>
      <c r="O126" s="952"/>
      <c r="P126" s="952"/>
      <c r="Q126" s="952"/>
      <c r="R126" s="952"/>
      <c r="S126" s="952"/>
      <c r="T126" s="952"/>
      <c r="U126" s="952"/>
      <c r="V126" s="952"/>
      <c r="W126" s="952"/>
      <c r="X126" s="952"/>
      <c r="Y126" s="952"/>
      <c r="Z126" s="952"/>
      <c r="AA126" s="366" t="s">
        <v>604</v>
      </c>
      <c r="AB126" s="311"/>
      <c r="AC126" s="311"/>
      <c r="AD126" s="302"/>
      <c r="AE126" s="302"/>
      <c r="AF126" s="302"/>
      <c r="AG126" s="302"/>
      <c r="AH126" s="302"/>
      <c r="AI126" s="303"/>
      <c r="AJ126" s="304"/>
      <c r="AK126" s="304"/>
      <c r="AL126" s="304"/>
      <c r="AM126" s="304"/>
      <c r="AN126" s="53"/>
    </row>
    <row r="127" spans="2:40" ht="18" customHeight="1"/>
    <row r="128" spans="2:40" s="1" customFormat="1" ht="16.5" customHeight="1">
      <c r="B128" s="6" t="s">
        <v>609</v>
      </c>
      <c r="H128" s="7" t="s">
        <v>243</v>
      </c>
      <c r="AB128" s="311"/>
      <c r="AC128" s="311"/>
      <c r="AD128" s="302"/>
      <c r="AE128" s="302"/>
      <c r="AF128" s="302"/>
      <c r="AG128" s="302"/>
      <c r="AH128" s="302"/>
      <c r="AI128" s="303"/>
      <c r="AJ128" s="304"/>
      <c r="AK128" s="304"/>
      <c r="AL128" s="304"/>
      <c r="AM128" s="304"/>
      <c r="AN128" s="53"/>
    </row>
    <row r="129" spans="2:40" s="1" customFormat="1" ht="2.15" customHeight="1">
      <c r="D129" s="138"/>
      <c r="E129" s="138"/>
      <c r="F129" s="138"/>
      <c r="G129" s="138"/>
      <c r="H129" s="138"/>
      <c r="I129" s="138"/>
      <c r="AB129" s="311"/>
      <c r="AC129" s="311"/>
      <c r="AD129" s="302"/>
      <c r="AE129" s="302"/>
      <c r="AF129" s="302"/>
      <c r="AG129" s="302"/>
      <c r="AH129" s="302"/>
      <c r="AI129" s="303"/>
      <c r="AJ129" s="304"/>
      <c r="AK129" s="304"/>
      <c r="AL129" s="304"/>
      <c r="AM129" s="304"/>
      <c r="AN129" s="53"/>
    </row>
    <row r="130" spans="2:40" s="1" customFormat="1" ht="27.75" customHeight="1">
      <c r="B130" s="689" t="s">
        <v>395</v>
      </c>
      <c r="C130" s="820"/>
      <c r="D130" s="678"/>
      <c r="E130" s="679"/>
      <c r="F130" s="679"/>
      <c r="G130" s="679"/>
      <c r="H130" s="679"/>
      <c r="I130" s="680"/>
      <c r="J130" s="689" t="s">
        <v>116</v>
      </c>
      <c r="K130" s="717"/>
      <c r="L130" s="690"/>
      <c r="M130" s="810" t="s">
        <v>572</v>
      </c>
      <c r="N130" s="811"/>
      <c r="O130" s="811"/>
      <c r="P130" s="811"/>
      <c r="Q130" s="811"/>
      <c r="R130" s="811"/>
      <c r="S130" s="811"/>
      <c r="T130" s="811"/>
      <c r="U130" s="811"/>
      <c r="V130" s="811"/>
      <c r="W130" s="811"/>
      <c r="X130" s="811"/>
      <c r="Y130" s="811"/>
      <c r="Z130" s="811"/>
      <c r="AA130" s="812"/>
      <c r="AB130" s="311"/>
      <c r="AC130" s="311"/>
      <c r="AD130" s="302"/>
      <c r="AE130" s="302"/>
      <c r="AF130" s="302"/>
      <c r="AG130" s="302"/>
      <c r="AH130" s="302"/>
      <c r="AI130" s="303"/>
      <c r="AJ130" s="304"/>
      <c r="AK130" s="304"/>
      <c r="AL130" s="304"/>
      <c r="AM130" s="304"/>
      <c r="AN130" s="53"/>
    </row>
    <row r="131" spans="2:40" s="1" customFormat="1" ht="21" customHeight="1">
      <c r="B131" s="721"/>
      <c r="C131" s="821"/>
      <c r="D131" s="681"/>
      <c r="E131" s="682"/>
      <c r="F131" s="682"/>
      <c r="G131" s="682"/>
      <c r="H131" s="682"/>
      <c r="I131" s="683"/>
      <c r="J131" s="693"/>
      <c r="K131" s="718"/>
      <c r="L131" s="692"/>
      <c r="M131" s="325"/>
      <c r="N131" s="131" t="s">
        <v>114</v>
      </c>
      <c r="O131" s="131"/>
      <c r="P131" s="131"/>
      <c r="Q131" s="131"/>
      <c r="R131" s="131"/>
      <c r="S131" s="131"/>
      <c r="T131" s="131"/>
      <c r="U131" s="131"/>
      <c r="V131" s="333"/>
      <c r="W131" s="176"/>
      <c r="X131" s="131"/>
      <c r="Y131" s="131"/>
      <c r="Z131" s="131"/>
      <c r="AA131" s="132"/>
      <c r="AB131" s="311"/>
      <c r="AC131" s="311"/>
      <c r="AD131" s="302"/>
      <c r="AE131" s="311"/>
      <c r="AF131" s="313" t="s">
        <v>409</v>
      </c>
      <c r="AG131" s="302" t="s">
        <v>597</v>
      </c>
      <c r="AH131" s="313"/>
      <c r="AI131" s="303"/>
      <c r="AJ131" s="304"/>
      <c r="AK131" s="304"/>
      <c r="AL131" s="304"/>
      <c r="AM131" s="304"/>
      <c r="AN131" s="53"/>
    </row>
    <row r="132" spans="2:40" s="3" customFormat="1" ht="21" customHeight="1">
      <c r="B132" s="721"/>
      <c r="C132" s="821"/>
      <c r="D132" s="681"/>
      <c r="E132" s="682"/>
      <c r="F132" s="682"/>
      <c r="G132" s="682"/>
      <c r="H132" s="682"/>
      <c r="I132" s="683"/>
      <c r="J132" s="693"/>
      <c r="K132" s="718"/>
      <c r="L132" s="692"/>
      <c r="M132" s="325"/>
      <c r="N132" s="49" t="s">
        <v>115</v>
      </c>
      <c r="O132" s="49"/>
      <c r="P132" s="993" t="s">
        <v>544</v>
      </c>
      <c r="Q132" s="994"/>
      <c r="R132" s="994"/>
      <c r="S132" s="994"/>
      <c r="T132" s="994"/>
      <c r="U132" s="994"/>
      <c r="V132" s="994"/>
      <c r="W132" s="994"/>
      <c r="X132" s="994"/>
      <c r="Y132" s="994"/>
      <c r="Z132" s="994"/>
      <c r="AA132" s="995"/>
      <c r="AB132" s="313"/>
      <c r="AC132" s="313"/>
      <c r="AD132" s="313"/>
      <c r="AE132" s="313"/>
      <c r="AF132" s="313" t="s">
        <v>409</v>
      </c>
      <c r="AG132" s="302" t="s">
        <v>598</v>
      </c>
      <c r="AH132" s="302"/>
      <c r="AI132" s="313"/>
      <c r="AJ132" s="313"/>
      <c r="AK132" s="304"/>
      <c r="AL132" s="304"/>
      <c r="AM132" s="304"/>
      <c r="AN132" s="40"/>
    </row>
    <row r="133" spans="2:40" s="1" customFormat="1" ht="21" customHeight="1">
      <c r="B133" s="721"/>
      <c r="C133" s="821"/>
      <c r="D133" s="681"/>
      <c r="E133" s="682"/>
      <c r="F133" s="682"/>
      <c r="G133" s="682"/>
      <c r="H133" s="682"/>
      <c r="I133" s="683"/>
      <c r="J133" s="693"/>
      <c r="K133" s="718"/>
      <c r="L133" s="692"/>
      <c r="M133" s="136" t="s">
        <v>396</v>
      </c>
      <c r="N133" s="327"/>
      <c r="O133" s="3" t="s">
        <v>142</v>
      </c>
      <c r="P133" s="3"/>
      <c r="V133" s="326"/>
      <c r="W133" s="326"/>
      <c r="X133" s="326"/>
      <c r="Y133" s="53"/>
      <c r="AA133" s="13"/>
      <c r="AB133" s="311"/>
      <c r="AC133" s="302"/>
      <c r="AD133" s="302"/>
      <c r="AE133" s="311"/>
      <c r="AF133" s="313" t="s">
        <v>409</v>
      </c>
      <c r="AG133" s="302" t="s">
        <v>599</v>
      </c>
      <c r="AH133" s="303"/>
      <c r="AI133" s="304"/>
      <c r="AJ133" s="304"/>
      <c r="AK133" s="304"/>
      <c r="AL133" s="304"/>
      <c r="AM133" s="311"/>
    </row>
    <row r="134" spans="2:40" s="3" customFormat="1" ht="21" customHeight="1">
      <c r="B134" s="721"/>
      <c r="C134" s="821"/>
      <c r="D134" s="681"/>
      <c r="E134" s="682"/>
      <c r="F134" s="682"/>
      <c r="G134" s="682"/>
      <c r="H134" s="682"/>
      <c r="I134" s="683"/>
      <c r="J134" s="693"/>
      <c r="K134" s="718"/>
      <c r="L134" s="692"/>
      <c r="M134" s="136" t="s">
        <v>397</v>
      </c>
      <c r="N134" s="327"/>
      <c r="O134" s="3" t="s">
        <v>143</v>
      </c>
      <c r="S134" s="1"/>
      <c r="V134" s="64"/>
      <c r="W134" s="1"/>
      <c r="AA134" s="36"/>
      <c r="AB134" s="313"/>
      <c r="AC134" s="302"/>
      <c r="AD134" s="302"/>
      <c r="AE134" s="313"/>
      <c r="AF134" s="313" t="s">
        <v>409</v>
      </c>
      <c r="AG134" s="302" t="s">
        <v>600</v>
      </c>
      <c r="AH134" s="313"/>
      <c r="AI134" s="313"/>
      <c r="AJ134" s="304"/>
      <c r="AK134" s="304"/>
      <c r="AL134" s="304"/>
      <c r="AM134" s="313"/>
    </row>
    <row r="135" spans="2:40" s="3" customFormat="1" ht="15" customHeight="1">
      <c r="B135" s="721"/>
      <c r="C135" s="821"/>
      <c r="D135" s="681"/>
      <c r="E135" s="682"/>
      <c r="F135" s="682"/>
      <c r="G135" s="682"/>
      <c r="H135" s="682"/>
      <c r="I135" s="683"/>
      <c r="J135" s="693"/>
      <c r="K135" s="718"/>
      <c r="L135" s="692"/>
      <c r="M135" s="35"/>
      <c r="N135" s="2"/>
      <c r="O135" s="3" t="s">
        <v>431</v>
      </c>
      <c r="T135" s="1"/>
      <c r="X135" s="813" t="s">
        <v>433</v>
      </c>
      <c r="Y135" s="814"/>
      <c r="Z135" s="814"/>
      <c r="AA135" s="815"/>
      <c r="AB135" s="313"/>
      <c r="AC135" s="313"/>
      <c r="AD135" s="302"/>
      <c r="AE135" s="302"/>
      <c r="AF135" s="302"/>
      <c r="AG135" s="302"/>
      <c r="AH135" s="302"/>
      <c r="AI135" s="313"/>
      <c r="AJ135" s="313"/>
      <c r="AK135" s="304"/>
      <c r="AL135" s="304"/>
      <c r="AM135" s="304"/>
      <c r="AN135" s="40"/>
    </row>
    <row r="136" spans="2:40" s="3" customFormat="1" ht="15" customHeight="1">
      <c r="B136" s="721"/>
      <c r="C136" s="821"/>
      <c r="D136" s="681"/>
      <c r="E136" s="682"/>
      <c r="F136" s="682"/>
      <c r="G136" s="682"/>
      <c r="H136" s="682"/>
      <c r="I136" s="683"/>
      <c r="J136" s="693"/>
      <c r="K136" s="718"/>
      <c r="L136" s="692"/>
      <c r="M136" s="133"/>
      <c r="N136" s="134"/>
      <c r="O136" s="134" t="s">
        <v>432</v>
      </c>
      <c r="P136" s="134"/>
      <c r="Q136" s="134"/>
      <c r="R136" s="134"/>
      <c r="S136" s="134"/>
      <c r="T136" s="135"/>
      <c r="U136" s="134"/>
      <c r="V136" s="134"/>
      <c r="W136" s="134"/>
      <c r="X136" s="868" t="str">
        <f>IF(M132="○",IF(AND(N133="○",N134="○"),"都外設置ok","都外設置NG"),"")</f>
        <v/>
      </c>
      <c r="Y136" s="869"/>
      <c r="Z136" s="869"/>
      <c r="AA136" s="870"/>
      <c r="AB136" s="313"/>
      <c r="AC136" s="313"/>
      <c r="AD136" s="302"/>
      <c r="AE136" s="302"/>
      <c r="AF136" s="302"/>
      <c r="AG136" s="302"/>
      <c r="AH136" s="302"/>
      <c r="AI136" s="313"/>
      <c r="AJ136" s="313"/>
      <c r="AK136" s="304"/>
      <c r="AL136" s="304"/>
      <c r="AM136" s="304"/>
      <c r="AN136" s="40"/>
    </row>
    <row r="137" spans="2:40" s="3" customFormat="1" ht="4.5" customHeight="1">
      <c r="B137" s="721"/>
      <c r="C137" s="821"/>
      <c r="D137" s="681"/>
      <c r="E137" s="682"/>
      <c r="F137" s="682"/>
      <c r="G137" s="682"/>
      <c r="H137" s="682"/>
      <c r="I137" s="683"/>
      <c r="J137" s="756"/>
      <c r="K137" s="757"/>
      <c r="L137" s="758"/>
      <c r="M137" s="89"/>
      <c r="N137" s="90"/>
      <c r="O137" s="19"/>
      <c r="P137" s="90"/>
      <c r="Q137" s="90"/>
      <c r="R137" s="90"/>
      <c r="S137" s="90"/>
      <c r="T137" s="90"/>
      <c r="U137" s="90"/>
      <c r="V137" s="90"/>
      <c r="W137" s="90"/>
      <c r="X137" s="90"/>
      <c r="Y137" s="90"/>
      <c r="Z137" s="90"/>
      <c r="AA137" s="91"/>
      <c r="AB137" s="313"/>
      <c r="AC137" s="313"/>
      <c r="AD137" s="302"/>
      <c r="AE137" s="302"/>
      <c r="AF137" s="302"/>
      <c r="AG137" s="302"/>
      <c r="AH137" s="302"/>
      <c r="AI137" s="313"/>
      <c r="AJ137" s="313"/>
      <c r="AK137" s="304"/>
      <c r="AL137" s="304"/>
      <c r="AM137" s="304"/>
      <c r="AN137" s="40"/>
    </row>
    <row r="138" spans="2:40" s="1" customFormat="1" ht="18.75" customHeight="1">
      <c r="B138" s="689" t="s">
        <v>439</v>
      </c>
      <c r="C138" s="848"/>
      <c r="D138" s="848"/>
      <c r="E138" s="848"/>
      <c r="F138" s="848"/>
      <c r="G138" s="848"/>
      <c r="H138" s="848"/>
      <c r="I138" s="820"/>
      <c r="J138" s="11" t="s">
        <v>41</v>
      </c>
      <c r="K138" s="1071"/>
      <c r="L138" s="1072"/>
      <c r="M138" s="1072"/>
      <c r="N138" s="1072"/>
      <c r="O138" s="1072"/>
      <c r="P138" s="22"/>
      <c r="Q138" s="22"/>
      <c r="R138" s="22"/>
      <c r="S138" s="22"/>
      <c r="T138" s="22"/>
      <c r="U138" s="22"/>
      <c r="V138" s="22"/>
      <c r="W138" s="22"/>
      <c r="X138" s="22"/>
      <c r="Y138" s="22"/>
      <c r="Z138" s="22"/>
      <c r="AA138" s="12"/>
      <c r="AB138" s="311"/>
      <c r="AC138" s="311"/>
      <c r="AD138" s="302"/>
      <c r="AE138" s="302"/>
      <c r="AF138" s="302"/>
      <c r="AG138" s="302"/>
      <c r="AH138" s="302"/>
      <c r="AI138" s="303"/>
      <c r="AJ138" s="304"/>
      <c r="AK138" s="304"/>
      <c r="AL138" s="304"/>
      <c r="AM138" s="304"/>
      <c r="AN138" s="53"/>
    </row>
    <row r="139" spans="2:40" s="1" customFormat="1" ht="24" customHeight="1">
      <c r="B139" s="849"/>
      <c r="C139" s="850"/>
      <c r="D139" s="851"/>
      <c r="E139" s="851"/>
      <c r="F139" s="851"/>
      <c r="G139" s="851"/>
      <c r="H139" s="851"/>
      <c r="I139" s="821"/>
      <c r="J139" s="988"/>
      <c r="K139" s="983"/>
      <c r="L139" s="983"/>
      <c r="M139" s="989"/>
      <c r="N139" s="989"/>
      <c r="O139" s="989"/>
      <c r="P139" s="989"/>
      <c r="Q139" s="989"/>
      <c r="R139" s="989"/>
      <c r="S139" s="989"/>
      <c r="T139" s="989"/>
      <c r="U139" s="989"/>
      <c r="V139" s="989"/>
      <c r="W139" s="989"/>
      <c r="X139" s="989"/>
      <c r="Y139" s="989"/>
      <c r="Z139" s="989"/>
      <c r="AA139" s="990"/>
      <c r="AB139" s="311"/>
      <c r="AC139" s="311"/>
      <c r="AD139" s="302"/>
      <c r="AE139" s="302"/>
      <c r="AF139" s="302"/>
      <c r="AG139" s="302"/>
      <c r="AH139" s="302"/>
      <c r="AI139" s="303"/>
      <c r="AJ139" s="304"/>
      <c r="AK139" s="304"/>
      <c r="AL139" s="304"/>
      <c r="AM139" s="304"/>
      <c r="AN139" s="53"/>
    </row>
    <row r="140" spans="2:40" s="1" customFormat="1" ht="18" customHeight="1">
      <c r="B140" s="689" t="s">
        <v>117</v>
      </c>
      <c r="C140" s="848"/>
      <c r="D140" s="827"/>
      <c r="E140" s="826"/>
      <c r="F140" s="826"/>
      <c r="G140" s="826"/>
      <c r="H140" s="826"/>
      <c r="I140" s="114" t="s">
        <v>118</v>
      </c>
      <c r="J140" s="826"/>
      <c r="K140" s="826"/>
      <c r="L140" s="826"/>
      <c r="M140" s="114" t="s">
        <v>119</v>
      </c>
      <c r="N140" s="826"/>
      <c r="O140" s="826"/>
      <c r="P140" s="826"/>
      <c r="Q140" s="826"/>
      <c r="R140" s="826"/>
      <c r="S140" s="114" t="s">
        <v>120</v>
      </c>
      <c r="T140" s="114"/>
      <c r="U140" s="114" t="s">
        <v>121</v>
      </c>
      <c r="V140" s="114"/>
      <c r="W140" s="114" t="s">
        <v>122</v>
      </c>
      <c r="X140" s="826"/>
      <c r="Y140" s="982"/>
      <c r="Z140" s="982"/>
      <c r="AA140" s="115" t="s">
        <v>123</v>
      </c>
      <c r="AB140" s="311"/>
      <c r="AC140" s="311"/>
      <c r="AD140" s="302"/>
      <c r="AE140" s="302"/>
      <c r="AF140" s="302"/>
      <c r="AG140" s="302"/>
      <c r="AH140" s="302"/>
      <c r="AI140" s="303"/>
      <c r="AJ140" s="304"/>
      <c r="AK140" s="304"/>
      <c r="AL140" s="304"/>
      <c r="AM140" s="304"/>
      <c r="AN140" s="53"/>
    </row>
    <row r="141" spans="2:40" s="1" customFormat="1" ht="18" customHeight="1">
      <c r="B141" s="691"/>
      <c r="C141" s="851"/>
      <c r="D141" s="830"/>
      <c r="E141" s="831"/>
      <c r="F141" s="831"/>
      <c r="G141" s="831"/>
      <c r="H141" s="831"/>
      <c r="I141" s="116" t="s">
        <v>124</v>
      </c>
      <c r="J141" s="831"/>
      <c r="K141" s="831"/>
      <c r="L141" s="831"/>
      <c r="M141" s="116" t="s">
        <v>125</v>
      </c>
      <c r="N141" s="831"/>
      <c r="O141" s="831"/>
      <c r="P141" s="831"/>
      <c r="Q141" s="831"/>
      <c r="R141" s="831"/>
      <c r="S141" s="4" t="s">
        <v>126</v>
      </c>
      <c r="T141" s="116"/>
      <c r="U141" s="116" t="s">
        <v>121</v>
      </c>
      <c r="V141" s="116"/>
      <c r="W141" s="116" t="s">
        <v>122</v>
      </c>
      <c r="X141" s="831"/>
      <c r="Y141" s="983"/>
      <c r="Z141" s="983"/>
      <c r="AA141" s="117" t="s">
        <v>123</v>
      </c>
      <c r="AB141" s="311"/>
      <c r="AC141" s="311"/>
      <c r="AD141" s="302" t="s">
        <v>383</v>
      </c>
      <c r="AE141" s="302"/>
      <c r="AF141" s="302"/>
      <c r="AG141" s="302"/>
      <c r="AH141" s="302"/>
      <c r="AI141" s="303"/>
      <c r="AJ141" s="304"/>
      <c r="AK141" s="304"/>
      <c r="AL141" s="304"/>
      <c r="AM141" s="304"/>
      <c r="AN141" s="53"/>
    </row>
    <row r="142" spans="2:40" s="1" customFormat="1" ht="18" customHeight="1">
      <c r="B142" s="849"/>
      <c r="C142" s="850"/>
      <c r="D142" s="824" t="s">
        <v>248</v>
      </c>
      <c r="E142" s="825"/>
      <c r="F142" s="825"/>
      <c r="G142" s="825"/>
      <c r="H142" s="825"/>
      <c r="I142" s="828"/>
      <c r="J142" s="828"/>
      <c r="K142" s="828"/>
      <c r="L142" s="828"/>
      <c r="M142" s="828"/>
      <c r="N142" s="828"/>
      <c r="O142" s="828"/>
      <c r="P142" s="828"/>
      <c r="Q142" s="828"/>
      <c r="R142" s="828"/>
      <c r="S142" s="828"/>
      <c r="T142" s="828"/>
      <c r="U142" s="828"/>
      <c r="V142" s="828"/>
      <c r="W142" s="828"/>
      <c r="X142" s="828"/>
      <c r="Y142" s="828"/>
      <c r="Z142" s="828"/>
      <c r="AA142" s="829"/>
      <c r="AB142" s="311"/>
      <c r="AC142" s="311"/>
      <c r="AD142" s="302" t="s">
        <v>384</v>
      </c>
      <c r="AE142" s="302"/>
      <c r="AF142" s="302"/>
      <c r="AG142" s="302"/>
      <c r="AH142" s="302"/>
      <c r="AI142" s="303"/>
      <c r="AJ142" s="304"/>
      <c r="AK142" s="304"/>
      <c r="AL142" s="304"/>
      <c r="AM142" s="304"/>
      <c r="AN142" s="53"/>
    </row>
    <row r="143" spans="2:40" s="1" customFormat="1" ht="9" customHeight="1">
      <c r="B143" s="689" t="s">
        <v>543</v>
      </c>
      <c r="C143" s="820"/>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12"/>
      <c r="AB143" s="311"/>
      <c r="AC143" s="311"/>
      <c r="AD143" s="302" t="s">
        <v>385</v>
      </c>
      <c r="AE143" s="302"/>
      <c r="AF143" s="302"/>
      <c r="AG143" s="302"/>
      <c r="AH143" s="302"/>
      <c r="AI143" s="303"/>
      <c r="AJ143" s="304"/>
      <c r="AK143" s="304"/>
      <c r="AL143" s="304"/>
      <c r="AM143" s="304"/>
      <c r="AN143" s="53"/>
    </row>
    <row r="144" spans="2:40" s="1" customFormat="1" ht="18.75" customHeight="1">
      <c r="B144" s="721"/>
      <c r="C144" s="821"/>
      <c r="D144" s="328"/>
      <c r="E144" s="1" t="s">
        <v>127</v>
      </c>
      <c r="H144" s="3" t="s">
        <v>128</v>
      </c>
      <c r="I144" s="3"/>
      <c r="J144" s="3"/>
      <c r="K144" s="1063"/>
      <c r="L144" s="1064"/>
      <c r="M144" s="3" t="s">
        <v>4</v>
      </c>
      <c r="N144" s="92"/>
      <c r="O144" s="3" t="s">
        <v>131</v>
      </c>
      <c r="P144" s="3"/>
      <c r="Q144" s="3"/>
      <c r="R144" s="3"/>
      <c r="S144" s="3"/>
      <c r="T144" s="3"/>
      <c r="U144" s="3"/>
      <c r="V144" s="3"/>
      <c r="W144" s="3"/>
      <c r="X144" s="3"/>
      <c r="AA144" s="13"/>
      <c r="AB144" s="311"/>
      <c r="AC144" s="311"/>
      <c r="AD144" s="302" t="s">
        <v>386</v>
      </c>
      <c r="AE144" s="302"/>
      <c r="AF144" s="313" t="s">
        <v>409</v>
      </c>
      <c r="AG144" s="302" t="s">
        <v>601</v>
      </c>
      <c r="AH144" s="313"/>
      <c r="AI144" s="313"/>
      <c r="AJ144" s="304"/>
      <c r="AK144" s="304"/>
      <c r="AL144" s="304"/>
      <c r="AM144" s="304"/>
      <c r="AN144" s="53"/>
    </row>
    <row r="145" spans="1:40" s="3" customFormat="1" ht="17.25" customHeight="1">
      <c r="B145" s="721"/>
      <c r="C145" s="821"/>
      <c r="D145" s="46"/>
      <c r="E145" s="1"/>
      <c r="F145" s="326"/>
      <c r="G145" s="1"/>
      <c r="H145" s="3" t="s">
        <v>130</v>
      </c>
      <c r="K145" s="1063"/>
      <c r="L145" s="1064"/>
      <c r="M145" s="3" t="s">
        <v>4</v>
      </c>
      <c r="N145" s="92"/>
      <c r="O145" s="3" t="s">
        <v>131</v>
      </c>
      <c r="Q145" s="3" t="s">
        <v>132</v>
      </c>
      <c r="Y145" s="1"/>
      <c r="Z145" s="1"/>
      <c r="AA145" s="13"/>
      <c r="AB145" s="313"/>
      <c r="AC145" s="313"/>
      <c r="AD145" s="302" t="s">
        <v>387</v>
      </c>
      <c r="AE145" s="302"/>
      <c r="AF145" s="302"/>
      <c r="AG145" s="302"/>
      <c r="AH145" s="302"/>
      <c r="AI145" s="313"/>
      <c r="AJ145" s="313"/>
      <c r="AK145" s="304"/>
      <c r="AL145" s="304"/>
      <c r="AM145" s="304"/>
      <c r="AN145" s="40"/>
    </row>
    <row r="146" spans="1:40" s="3" customFormat="1" ht="9" customHeight="1">
      <c r="B146" s="721"/>
      <c r="C146" s="821"/>
      <c r="D146" s="46"/>
      <c r="E146" s="1"/>
      <c r="F146" s="1"/>
      <c r="G146" s="1"/>
      <c r="H146" s="1"/>
      <c r="I146" s="1"/>
      <c r="J146" s="1"/>
      <c r="K146" s="1"/>
      <c r="L146" s="1"/>
      <c r="M146" s="1"/>
      <c r="N146" s="1"/>
      <c r="O146" s="1"/>
      <c r="P146" s="1"/>
      <c r="Q146" s="1"/>
      <c r="R146" s="1"/>
      <c r="S146" s="1"/>
      <c r="T146" s="1"/>
      <c r="U146" s="1"/>
      <c r="V146" s="1"/>
      <c r="W146" s="1"/>
      <c r="X146" s="1"/>
      <c r="Y146" s="1"/>
      <c r="Z146" s="1"/>
      <c r="AA146" s="13"/>
      <c r="AB146" s="313"/>
      <c r="AC146" s="313"/>
      <c r="AD146" s="302" t="s">
        <v>388</v>
      </c>
      <c r="AE146" s="302"/>
      <c r="AF146" s="302"/>
      <c r="AG146" s="302"/>
      <c r="AH146" s="302"/>
      <c r="AI146" s="313"/>
      <c r="AJ146" s="313"/>
      <c r="AK146" s="304"/>
      <c r="AL146" s="304"/>
      <c r="AM146" s="304"/>
      <c r="AN146" s="40"/>
    </row>
    <row r="147" spans="1:40" s="3" customFormat="1" ht="18" customHeight="1">
      <c r="B147" s="721"/>
      <c r="C147" s="821"/>
      <c r="D147" s="328"/>
      <c r="E147" s="1" t="s">
        <v>133</v>
      </c>
      <c r="F147" s="1"/>
      <c r="G147" s="1"/>
      <c r="H147" s="3" t="s">
        <v>136</v>
      </c>
      <c r="I147" s="34"/>
      <c r="J147" s="34"/>
      <c r="K147" s="1065"/>
      <c r="L147" s="1066"/>
      <c r="M147" s="1066"/>
      <c r="N147" s="1066"/>
      <c r="O147" s="1066"/>
      <c r="P147" s="1066"/>
      <c r="Q147" s="1066"/>
      <c r="R147" s="1066"/>
      <c r="S147" s="1066"/>
      <c r="T147" s="1066"/>
      <c r="U147" s="1066"/>
      <c r="V147" s="1066"/>
      <c r="W147" s="1066"/>
      <c r="X147" s="1066"/>
      <c r="Y147" s="1066"/>
      <c r="Z147" s="1066"/>
      <c r="AA147" s="36" t="s">
        <v>129</v>
      </c>
      <c r="AB147" s="313"/>
      <c r="AC147" s="313"/>
      <c r="AD147" s="302" t="s">
        <v>430</v>
      </c>
      <c r="AE147" s="302"/>
      <c r="AF147" s="313" t="s">
        <v>409</v>
      </c>
      <c r="AG147" s="302" t="s">
        <v>602</v>
      </c>
      <c r="AH147" s="313"/>
      <c r="AI147" s="313"/>
      <c r="AJ147" s="313"/>
      <c r="AK147" s="304"/>
      <c r="AL147" s="304"/>
      <c r="AM147" s="304"/>
      <c r="AN147" s="40"/>
    </row>
    <row r="148" spans="1:40" s="3" customFormat="1" ht="21.75" customHeight="1">
      <c r="B148" s="721"/>
      <c r="C148" s="821"/>
      <c r="D148" s="1"/>
      <c r="E148" s="1"/>
      <c r="F148" s="326"/>
      <c r="G148" s="46"/>
      <c r="H148" s="3" t="s">
        <v>134</v>
      </c>
      <c r="K148" s="1063"/>
      <c r="L148" s="1064"/>
      <c r="M148" s="3" t="s">
        <v>4</v>
      </c>
      <c r="N148" s="92"/>
      <c r="O148" s="3" t="s">
        <v>113</v>
      </c>
      <c r="P148" s="3" t="s">
        <v>135</v>
      </c>
      <c r="R148" s="1067"/>
      <c r="S148" s="1068"/>
      <c r="T148" s="3" t="s">
        <v>4</v>
      </c>
      <c r="U148" s="92"/>
      <c r="V148" s="3" t="s">
        <v>113</v>
      </c>
      <c r="W148" s="3" t="s">
        <v>129</v>
      </c>
      <c r="X148" s="1"/>
      <c r="Y148" s="1"/>
      <c r="Z148" s="1"/>
      <c r="AA148" s="13"/>
      <c r="AB148" s="313"/>
      <c r="AC148" s="313"/>
      <c r="AD148" s="302" t="s">
        <v>389</v>
      </c>
      <c r="AE148" s="302"/>
      <c r="AF148" s="302"/>
      <c r="AG148" s="302"/>
      <c r="AH148" s="302"/>
      <c r="AI148" s="313"/>
      <c r="AJ148" s="313"/>
      <c r="AK148" s="304"/>
      <c r="AL148" s="304"/>
      <c r="AM148" s="304"/>
      <c r="AN148" s="40"/>
    </row>
    <row r="149" spans="1:40" s="1" customFormat="1" ht="21.75" customHeight="1">
      <c r="B149" s="721"/>
      <c r="C149" s="821"/>
      <c r="G149" s="46"/>
      <c r="H149" s="3" t="s">
        <v>398</v>
      </c>
      <c r="M149" s="1063"/>
      <c r="N149" s="1064"/>
      <c r="O149" s="3" t="s">
        <v>4</v>
      </c>
      <c r="P149" s="92"/>
      <c r="Q149" s="3" t="s">
        <v>131</v>
      </c>
      <c r="R149" s="3" t="s">
        <v>137</v>
      </c>
      <c r="Z149" s="53"/>
      <c r="AA149" s="71"/>
      <c r="AB149" s="311"/>
      <c r="AC149" s="311"/>
      <c r="AD149" s="302"/>
      <c r="AE149" s="302"/>
      <c r="AF149" s="302"/>
      <c r="AG149" s="302"/>
      <c r="AH149" s="302"/>
      <c r="AI149" s="303"/>
      <c r="AJ149" s="304"/>
      <c r="AK149" s="304"/>
      <c r="AL149" s="304"/>
      <c r="AM149" s="304"/>
      <c r="AN149" s="53"/>
    </row>
    <row r="150" spans="1:40" s="1" customFormat="1" ht="15" customHeight="1">
      <c r="B150" s="849"/>
      <c r="C150" s="1062"/>
      <c r="D150" s="19"/>
      <c r="E150" s="19"/>
      <c r="F150" s="19"/>
      <c r="G150" s="19"/>
      <c r="H150" s="1069" t="s">
        <v>603</v>
      </c>
      <c r="I150" s="1070"/>
      <c r="J150" s="1070"/>
      <c r="K150" s="952"/>
      <c r="L150" s="952"/>
      <c r="M150" s="952"/>
      <c r="N150" s="952"/>
      <c r="O150" s="952"/>
      <c r="P150" s="952"/>
      <c r="Q150" s="952"/>
      <c r="R150" s="952"/>
      <c r="S150" s="952"/>
      <c r="T150" s="952"/>
      <c r="U150" s="952"/>
      <c r="V150" s="952"/>
      <c r="W150" s="952"/>
      <c r="X150" s="952"/>
      <c r="Y150" s="952"/>
      <c r="Z150" s="952"/>
      <c r="AA150" s="366" t="s">
        <v>604</v>
      </c>
      <c r="AB150" s="311"/>
      <c r="AC150" s="311"/>
      <c r="AD150" s="302"/>
      <c r="AE150" s="302"/>
      <c r="AF150" s="302"/>
      <c r="AG150" s="302"/>
      <c r="AH150" s="302"/>
      <c r="AI150" s="303"/>
      <c r="AJ150" s="304"/>
      <c r="AK150" s="304"/>
      <c r="AL150" s="304"/>
      <c r="AM150" s="304"/>
      <c r="AN150" s="53"/>
    </row>
    <row r="151" spans="1:40" ht="34.5" customHeight="1">
      <c r="A151" s="1074" t="s">
        <v>895</v>
      </c>
      <c r="B151" s="934"/>
      <c r="C151" s="934"/>
      <c r="D151" s="934"/>
      <c r="E151" s="934"/>
      <c r="F151" s="934"/>
      <c r="G151" s="934"/>
      <c r="H151" s="934"/>
      <c r="I151" s="934"/>
      <c r="J151" s="934"/>
      <c r="K151" s="934"/>
      <c r="L151" s="934"/>
      <c r="M151" s="934"/>
      <c r="N151" s="934"/>
      <c r="O151" s="934"/>
      <c r="P151" s="934"/>
      <c r="Q151" s="934"/>
      <c r="R151" s="934"/>
      <c r="S151" s="934"/>
      <c r="T151" s="934"/>
      <c r="U151" s="934"/>
      <c r="V151" s="934"/>
      <c r="W151" s="934"/>
      <c r="X151" s="934"/>
      <c r="Y151" s="934"/>
      <c r="Z151" s="934"/>
      <c r="AA151" s="934"/>
      <c r="AB151" s="472"/>
    </row>
  </sheetData>
  <mergeCells count="188">
    <mergeCell ref="A151:AA151"/>
    <mergeCell ref="B17:C19"/>
    <mergeCell ref="D17:H17"/>
    <mergeCell ref="J17:L17"/>
    <mergeCell ref="N17:R17"/>
    <mergeCell ref="X17:Z17"/>
    <mergeCell ref="D18:H18"/>
    <mergeCell ref="B7:C14"/>
    <mergeCell ref="D7:I14"/>
    <mergeCell ref="J7:L14"/>
    <mergeCell ref="M7:AA7"/>
    <mergeCell ref="P9:AA9"/>
    <mergeCell ref="X12:AA12"/>
    <mergeCell ref="X13:AA13"/>
    <mergeCell ref="R25:S25"/>
    <mergeCell ref="M26:N26"/>
    <mergeCell ref="N42:R42"/>
    <mergeCell ref="X42:Z42"/>
    <mergeCell ref="D43:H43"/>
    <mergeCell ref="B39:I40"/>
    <mergeCell ref="K39:O39"/>
    <mergeCell ref="J40:L40"/>
    <mergeCell ref="M40:AA40"/>
    <mergeCell ref="B56:C63"/>
    <mergeCell ref="R1:AA1"/>
    <mergeCell ref="H27:J27"/>
    <mergeCell ref="K27:Z27"/>
    <mergeCell ref="B31:C38"/>
    <mergeCell ref="D31:I38"/>
    <mergeCell ref="J31:L38"/>
    <mergeCell ref="M31:AA31"/>
    <mergeCell ref="P33:AA33"/>
    <mergeCell ref="J18:L18"/>
    <mergeCell ref="N18:R18"/>
    <mergeCell ref="X18:Z18"/>
    <mergeCell ref="D19:H19"/>
    <mergeCell ref="I19:AA19"/>
    <mergeCell ref="B20:C27"/>
    <mergeCell ref="K21:L21"/>
    <mergeCell ref="K22:L22"/>
    <mergeCell ref="K24:Z24"/>
    <mergeCell ref="K25:L25"/>
    <mergeCell ref="B15:I16"/>
    <mergeCell ref="K15:O15"/>
    <mergeCell ref="J16:L16"/>
    <mergeCell ref="M16:AA16"/>
    <mergeCell ref="X36:AA36"/>
    <mergeCell ref="X37:AA37"/>
    <mergeCell ref="D56:I63"/>
    <mergeCell ref="J56:L63"/>
    <mergeCell ref="M56:AA56"/>
    <mergeCell ref="P58:AA58"/>
    <mergeCell ref="X61:AA61"/>
    <mergeCell ref="X62:AA62"/>
    <mergeCell ref="I43:AA43"/>
    <mergeCell ref="B44:C51"/>
    <mergeCell ref="K45:L45"/>
    <mergeCell ref="K46:L46"/>
    <mergeCell ref="K48:Z48"/>
    <mergeCell ref="K49:L49"/>
    <mergeCell ref="R49:S49"/>
    <mergeCell ref="M50:N50"/>
    <mergeCell ref="H51:J51"/>
    <mergeCell ref="K51:Z51"/>
    <mergeCell ref="B41:C43"/>
    <mergeCell ref="D41:H41"/>
    <mergeCell ref="J41:L41"/>
    <mergeCell ref="N41:R41"/>
    <mergeCell ref="X41:Z41"/>
    <mergeCell ref="D42:H42"/>
    <mergeCell ref="J42:L42"/>
    <mergeCell ref="B64:I65"/>
    <mergeCell ref="K64:O64"/>
    <mergeCell ref="J65:L65"/>
    <mergeCell ref="M65:AA65"/>
    <mergeCell ref="B66:C68"/>
    <mergeCell ref="D66:H66"/>
    <mergeCell ref="J66:L66"/>
    <mergeCell ref="N66:R66"/>
    <mergeCell ref="X66:Z66"/>
    <mergeCell ref="D67:H67"/>
    <mergeCell ref="J67:L67"/>
    <mergeCell ref="N67:R67"/>
    <mergeCell ref="X67:Z67"/>
    <mergeCell ref="D68:H68"/>
    <mergeCell ref="I68:AA68"/>
    <mergeCell ref="B69:C76"/>
    <mergeCell ref="K70:L70"/>
    <mergeCell ref="K71:L71"/>
    <mergeCell ref="K73:Z73"/>
    <mergeCell ref="K74:L74"/>
    <mergeCell ref="R74:S74"/>
    <mergeCell ref="M75:N75"/>
    <mergeCell ref="H76:J76"/>
    <mergeCell ref="K76:Z76"/>
    <mergeCell ref="D92:H92"/>
    <mergeCell ref="I92:AA92"/>
    <mergeCell ref="X86:AA86"/>
    <mergeCell ref="B88:I89"/>
    <mergeCell ref="K88:O88"/>
    <mergeCell ref="J89:L89"/>
    <mergeCell ref="M89:AA89"/>
    <mergeCell ref="B90:C92"/>
    <mergeCell ref="D90:H90"/>
    <mergeCell ref="J90:L90"/>
    <mergeCell ref="N90:R90"/>
    <mergeCell ref="X90:Z90"/>
    <mergeCell ref="B80:C87"/>
    <mergeCell ref="D80:I87"/>
    <mergeCell ref="J80:L87"/>
    <mergeCell ref="M80:AA80"/>
    <mergeCell ref="P82:AA82"/>
    <mergeCell ref="X85:AA85"/>
    <mergeCell ref="D91:H91"/>
    <mergeCell ref="J91:L91"/>
    <mergeCell ref="N91:R91"/>
    <mergeCell ref="X91:Z91"/>
    <mergeCell ref="B106:C113"/>
    <mergeCell ref="D106:I113"/>
    <mergeCell ref="J106:L113"/>
    <mergeCell ref="M106:AA106"/>
    <mergeCell ref="P108:AA108"/>
    <mergeCell ref="X111:AA111"/>
    <mergeCell ref="X112:AA112"/>
    <mergeCell ref="B93:C100"/>
    <mergeCell ref="K94:L94"/>
    <mergeCell ref="K95:L95"/>
    <mergeCell ref="K97:Z97"/>
    <mergeCell ref="K98:L98"/>
    <mergeCell ref="R98:S98"/>
    <mergeCell ref="M99:N99"/>
    <mergeCell ref="H100:J100"/>
    <mergeCell ref="K100:Z100"/>
    <mergeCell ref="B114:I115"/>
    <mergeCell ref="K114:O114"/>
    <mergeCell ref="J115:L115"/>
    <mergeCell ref="M115:AA115"/>
    <mergeCell ref="B116:C118"/>
    <mergeCell ref="D116:H116"/>
    <mergeCell ref="J116:L116"/>
    <mergeCell ref="N116:R116"/>
    <mergeCell ref="X116:Z116"/>
    <mergeCell ref="D117:H117"/>
    <mergeCell ref="J117:L117"/>
    <mergeCell ref="N117:R117"/>
    <mergeCell ref="X117:Z117"/>
    <mergeCell ref="D118:H118"/>
    <mergeCell ref="I118:AA118"/>
    <mergeCell ref="B119:C126"/>
    <mergeCell ref="K120:L120"/>
    <mergeCell ref="K121:L121"/>
    <mergeCell ref="K123:Z123"/>
    <mergeCell ref="K124:L124"/>
    <mergeCell ref="R124:S124"/>
    <mergeCell ref="M125:N125"/>
    <mergeCell ref="H126:J126"/>
    <mergeCell ref="K126:Z126"/>
    <mergeCell ref="D142:H142"/>
    <mergeCell ref="I142:AA142"/>
    <mergeCell ref="X136:AA136"/>
    <mergeCell ref="B138:I139"/>
    <mergeCell ref="K138:O138"/>
    <mergeCell ref="J139:L139"/>
    <mergeCell ref="M139:AA139"/>
    <mergeCell ref="B140:C142"/>
    <mergeCell ref="D140:H140"/>
    <mergeCell ref="J140:L140"/>
    <mergeCell ref="N140:R140"/>
    <mergeCell ref="X140:Z140"/>
    <mergeCell ref="B130:C137"/>
    <mergeCell ref="D130:I137"/>
    <mergeCell ref="J130:L137"/>
    <mergeCell ref="M130:AA130"/>
    <mergeCell ref="P132:AA132"/>
    <mergeCell ref="X135:AA135"/>
    <mergeCell ref="D141:H141"/>
    <mergeCell ref="J141:L141"/>
    <mergeCell ref="N141:R141"/>
    <mergeCell ref="X141:Z141"/>
    <mergeCell ref="B143:C150"/>
    <mergeCell ref="K144:L144"/>
    <mergeCell ref="K145:L145"/>
    <mergeCell ref="K147:Z147"/>
    <mergeCell ref="K148:L148"/>
    <mergeCell ref="R148:S148"/>
    <mergeCell ref="M149:N149"/>
    <mergeCell ref="H150:J150"/>
    <mergeCell ref="K150:Z150"/>
  </mergeCells>
  <phoneticPr fontId="1"/>
  <conditionalFormatting sqref="D21">
    <cfRule type="expression" dxfId="394" priority="142">
      <formula>AND(D21="",D24="")</formula>
    </cfRule>
  </conditionalFormatting>
  <conditionalFormatting sqref="D24">
    <cfRule type="expression" dxfId="393" priority="141">
      <formula>AND(D21="",D24="")</formula>
    </cfRule>
  </conditionalFormatting>
  <conditionalFormatting sqref="D45">
    <cfRule type="expression" dxfId="392" priority="117">
      <formula>AND(D45="",D48="")</formula>
    </cfRule>
  </conditionalFormatting>
  <conditionalFormatting sqref="D48">
    <cfRule type="expression" dxfId="391" priority="116">
      <formula>AND(D45="",D48="")</formula>
    </cfRule>
  </conditionalFormatting>
  <conditionalFormatting sqref="D70">
    <cfRule type="expression" dxfId="390" priority="92">
      <formula>AND(D70="",D73="")</formula>
    </cfRule>
  </conditionalFormatting>
  <conditionalFormatting sqref="D73">
    <cfRule type="expression" dxfId="389" priority="91">
      <formula>AND(D70="",D73="")</formula>
    </cfRule>
  </conditionalFormatting>
  <conditionalFormatting sqref="D94">
    <cfRule type="expression" dxfId="388" priority="67">
      <formula>AND(D94="",D97="")</formula>
    </cfRule>
  </conditionalFormatting>
  <conditionalFormatting sqref="D97">
    <cfRule type="expression" dxfId="387" priority="66">
      <formula>AND(D94="",D97="")</formula>
    </cfRule>
  </conditionalFormatting>
  <conditionalFormatting sqref="D120">
    <cfRule type="expression" dxfId="386" priority="42">
      <formula>AND(D120="",D123="")</formula>
    </cfRule>
  </conditionalFormatting>
  <conditionalFormatting sqref="D123">
    <cfRule type="expression" dxfId="385" priority="41">
      <formula>AND(D120="",D123="")</formula>
    </cfRule>
  </conditionalFormatting>
  <conditionalFormatting sqref="D144">
    <cfRule type="expression" dxfId="384" priority="17">
      <formula>AND(D144="",D147="")</formula>
    </cfRule>
  </conditionalFormatting>
  <conditionalFormatting sqref="D147">
    <cfRule type="expression" dxfId="383" priority="16">
      <formula>AND(D144="",D147="")</formula>
    </cfRule>
  </conditionalFormatting>
  <conditionalFormatting sqref="D7:I14">
    <cfRule type="expression" dxfId="382" priority="149">
      <formula>D7=""</formula>
    </cfRule>
  </conditionalFormatting>
  <conditionalFormatting sqref="D31:I38">
    <cfRule type="expression" dxfId="381" priority="124">
      <formula>D31=""</formula>
    </cfRule>
  </conditionalFormatting>
  <conditionalFormatting sqref="D56:I63">
    <cfRule type="expression" dxfId="380" priority="99">
      <formula>D56=""</formula>
    </cfRule>
  </conditionalFormatting>
  <conditionalFormatting sqref="D80:I87">
    <cfRule type="expression" dxfId="379" priority="74">
      <formula>D80=""</formula>
    </cfRule>
  </conditionalFormatting>
  <conditionalFormatting sqref="D106:I113">
    <cfRule type="expression" dxfId="378" priority="49">
      <formula>D106=""</formula>
    </cfRule>
  </conditionalFormatting>
  <conditionalFormatting sqref="D130:I137">
    <cfRule type="expression" dxfId="377" priority="24">
      <formula>D130=""</formula>
    </cfRule>
  </conditionalFormatting>
  <conditionalFormatting sqref="J16:AA16">
    <cfRule type="expression" dxfId="376" priority="146">
      <formula>J16=""</formula>
    </cfRule>
  </conditionalFormatting>
  <conditionalFormatting sqref="J40:AA40">
    <cfRule type="expression" dxfId="375" priority="121">
      <formula>J40=""</formula>
    </cfRule>
  </conditionalFormatting>
  <conditionalFormatting sqref="J65:AA65">
    <cfRule type="expression" dxfId="374" priority="96">
      <formula>J65=""</formula>
    </cfRule>
  </conditionalFormatting>
  <conditionalFormatting sqref="J89:AA89">
    <cfRule type="expression" dxfId="373" priority="71">
      <formula>J89=""</formula>
    </cfRule>
  </conditionalFormatting>
  <conditionalFormatting sqref="J115:AA115">
    <cfRule type="expression" dxfId="372" priority="46">
      <formula>J115=""</formula>
    </cfRule>
  </conditionalFormatting>
  <conditionalFormatting sqref="J139:AA139">
    <cfRule type="expression" dxfId="371" priority="21">
      <formula>J139=""</formula>
    </cfRule>
  </conditionalFormatting>
  <conditionalFormatting sqref="K21:L21">
    <cfRule type="expression" dxfId="370" priority="140">
      <formula>AND(D21="○",K21="",K22="")</formula>
    </cfRule>
  </conditionalFormatting>
  <conditionalFormatting sqref="K22:L22">
    <cfRule type="expression" dxfId="369" priority="134">
      <formula>AND(D21="○",K21="",K22="")</formula>
    </cfRule>
  </conditionalFormatting>
  <conditionalFormatting sqref="K25:L25">
    <cfRule type="expression" dxfId="368" priority="131">
      <formula>AND(D24="○",K25="",M26="")</formula>
    </cfRule>
  </conditionalFormatting>
  <conditionalFormatting sqref="K45:L45">
    <cfRule type="expression" dxfId="367" priority="115">
      <formula>AND(D45="○",K45="",K46="")</formula>
    </cfRule>
  </conditionalFormatting>
  <conditionalFormatting sqref="K46:L46">
    <cfRule type="expression" dxfId="366" priority="109">
      <formula>AND(D45="○",K45="",K46="")</formula>
    </cfRule>
  </conditionalFormatting>
  <conditionalFormatting sqref="K49:L49">
    <cfRule type="expression" dxfId="365" priority="106">
      <formula>AND(D48="○",K49="",M50="")</formula>
    </cfRule>
  </conditionalFormatting>
  <conditionalFormatting sqref="K70:L70">
    <cfRule type="expression" dxfId="364" priority="90">
      <formula>AND(D70="○",K70="",K71="")</formula>
    </cfRule>
  </conditionalFormatting>
  <conditionalFormatting sqref="K71:L71">
    <cfRule type="expression" dxfId="363" priority="84">
      <formula>AND(D70="○",K70="",K71="")</formula>
    </cfRule>
  </conditionalFormatting>
  <conditionalFormatting sqref="K74:L74">
    <cfRule type="expression" dxfId="362" priority="81">
      <formula>AND(D73="○",K74="",M75="")</formula>
    </cfRule>
  </conditionalFormatting>
  <conditionalFormatting sqref="K94:L94">
    <cfRule type="expression" dxfId="361" priority="65">
      <formula>AND(D94="○",K94="",K95="")</formula>
    </cfRule>
  </conditionalFormatting>
  <conditionalFormatting sqref="K95:L95">
    <cfRule type="expression" dxfId="360" priority="59">
      <formula>AND(D94="○",K94="",K95="")</formula>
    </cfRule>
  </conditionalFormatting>
  <conditionalFormatting sqref="K98:L98">
    <cfRule type="expression" dxfId="359" priority="56">
      <formula>AND(D97="○",K98="",M99="")</formula>
    </cfRule>
  </conditionalFormatting>
  <conditionalFormatting sqref="K120:L120">
    <cfRule type="expression" dxfId="358" priority="40">
      <formula>AND(D120="○",K120="",K121="")</formula>
    </cfRule>
  </conditionalFormatting>
  <conditionalFormatting sqref="K121:L121">
    <cfRule type="expression" dxfId="357" priority="34">
      <formula>AND(D120="○",K120="",K121="")</formula>
    </cfRule>
  </conditionalFormatting>
  <conditionalFormatting sqref="K124:L124">
    <cfRule type="expression" dxfId="356" priority="31">
      <formula>AND(D123="○",K124="",M125="")</formula>
    </cfRule>
  </conditionalFormatting>
  <conditionalFormatting sqref="K144:L144">
    <cfRule type="expression" dxfId="355" priority="15">
      <formula>AND(D144="○",K144="",K145="")</formula>
    </cfRule>
  </conditionalFormatting>
  <conditionalFormatting sqref="K145:L145">
    <cfRule type="expression" dxfId="354" priority="9">
      <formula>AND(D144="○",K144="",K145="")</formula>
    </cfRule>
  </conditionalFormatting>
  <conditionalFormatting sqref="K148:L148">
    <cfRule type="expression" dxfId="353" priority="6">
      <formula>AND(D147="○",K148="",M149="")</formula>
    </cfRule>
  </conditionalFormatting>
  <conditionalFormatting sqref="K15:O15">
    <cfRule type="expression" dxfId="352" priority="148">
      <formula>K15=""</formula>
    </cfRule>
  </conditionalFormatting>
  <conditionalFormatting sqref="K39:O39">
    <cfRule type="expression" dxfId="351" priority="123">
      <formula>K39=""</formula>
    </cfRule>
  </conditionalFormatting>
  <conditionalFormatting sqref="K64:O64">
    <cfRule type="expression" dxfId="350" priority="98">
      <formula>K64=""</formula>
    </cfRule>
  </conditionalFormatting>
  <conditionalFormatting sqref="K88:O88">
    <cfRule type="expression" dxfId="349" priority="73">
      <formula>K88=""</formula>
    </cfRule>
  </conditionalFormatting>
  <conditionalFormatting sqref="K114:O114">
    <cfRule type="expression" dxfId="348" priority="48">
      <formula>K114=""</formula>
    </cfRule>
  </conditionalFormatting>
  <conditionalFormatting sqref="K138:O138">
    <cfRule type="expression" dxfId="347" priority="23">
      <formula>K138=""</formula>
    </cfRule>
  </conditionalFormatting>
  <conditionalFormatting sqref="K24:Z24">
    <cfRule type="expression" dxfId="346" priority="132">
      <formula>AND(D24="○",K24="")</formula>
    </cfRule>
    <cfRule type="expression" dxfId="345" priority="137">
      <formula>AND($F$166=TRUE,$K$165="")</formula>
    </cfRule>
  </conditionalFormatting>
  <conditionalFormatting sqref="K48:Z48">
    <cfRule type="expression" dxfId="344" priority="112">
      <formula>AND($F$166=TRUE,$K$165="")</formula>
    </cfRule>
    <cfRule type="expression" dxfId="343" priority="107">
      <formula>AND(D48="○",K48="")</formula>
    </cfRule>
  </conditionalFormatting>
  <conditionalFormatting sqref="K73:Z73">
    <cfRule type="expression" dxfId="342" priority="82">
      <formula>AND(D73="○",K73="")</formula>
    </cfRule>
    <cfRule type="expression" dxfId="341" priority="87">
      <formula>AND($F$166=TRUE,$K$165="")</formula>
    </cfRule>
  </conditionalFormatting>
  <conditionalFormatting sqref="K97:Z97">
    <cfRule type="expression" dxfId="340" priority="57">
      <formula>AND(D97="○",K97="")</formula>
    </cfRule>
    <cfRule type="expression" dxfId="339" priority="62">
      <formula>AND($F$166=TRUE,$K$165="")</formula>
    </cfRule>
  </conditionalFormatting>
  <conditionalFormatting sqref="K123:Z123">
    <cfRule type="expression" dxfId="338" priority="32">
      <formula>AND(D123="○",K123="")</formula>
    </cfRule>
    <cfRule type="expression" dxfId="337" priority="37">
      <formula>AND($F$166=TRUE,$K$165="")</formula>
    </cfRule>
  </conditionalFormatting>
  <conditionalFormatting sqref="K147:Z147">
    <cfRule type="expression" dxfId="336" priority="12">
      <formula>AND($F$166=TRUE,$K$165="")</formula>
    </cfRule>
    <cfRule type="expression" dxfId="335" priority="7">
      <formula>AND(D147="○",K147="")</formula>
    </cfRule>
  </conditionalFormatting>
  <conditionalFormatting sqref="M8">
    <cfRule type="expression" dxfId="334" priority="144">
      <formula>AND(M8="",M9="")</formula>
    </cfRule>
  </conditionalFormatting>
  <conditionalFormatting sqref="M9">
    <cfRule type="expression" dxfId="333" priority="143">
      <formula>AND(M8="",M9="")</formula>
    </cfRule>
    <cfRule type="expression" dxfId="332" priority="145">
      <formula>$M$150=TRUE</formula>
    </cfRule>
  </conditionalFormatting>
  <conditionalFormatting sqref="M32">
    <cfRule type="expression" dxfId="331" priority="119">
      <formula>AND(M32="",M33="")</formula>
    </cfRule>
  </conditionalFormatting>
  <conditionalFormatting sqref="M33">
    <cfRule type="expression" dxfId="330" priority="120">
      <formula>$M$150=TRUE</formula>
    </cfRule>
    <cfRule type="expression" dxfId="329" priority="118">
      <formula>AND(M32="",M33="")</formula>
    </cfRule>
  </conditionalFormatting>
  <conditionalFormatting sqref="M57">
    <cfRule type="expression" dxfId="328" priority="94">
      <formula>AND(M57="",M58="")</formula>
    </cfRule>
  </conditionalFormatting>
  <conditionalFormatting sqref="M58">
    <cfRule type="expression" dxfId="327" priority="93">
      <formula>AND(M57="",M58="")</formula>
    </cfRule>
    <cfRule type="expression" dxfId="326" priority="95">
      <formula>$M$150=TRUE</formula>
    </cfRule>
  </conditionalFormatting>
  <conditionalFormatting sqref="M81">
    <cfRule type="expression" dxfId="325" priority="69">
      <formula>AND(M81="",M82="")</formula>
    </cfRule>
  </conditionalFormatting>
  <conditionalFormatting sqref="M82">
    <cfRule type="expression" dxfId="324" priority="68">
      <formula>AND(M81="",M82="")</formula>
    </cfRule>
    <cfRule type="expression" dxfId="323" priority="70">
      <formula>$M$150=TRUE</formula>
    </cfRule>
  </conditionalFormatting>
  <conditionalFormatting sqref="M107">
    <cfRule type="expression" dxfId="322" priority="44">
      <formula>AND(M107="",M108="")</formula>
    </cfRule>
  </conditionalFormatting>
  <conditionalFormatting sqref="M108">
    <cfRule type="expression" dxfId="321" priority="45">
      <formula>$M$150=TRUE</formula>
    </cfRule>
    <cfRule type="expression" dxfId="320" priority="43">
      <formula>AND(M107="",M108="")</formula>
    </cfRule>
  </conditionalFormatting>
  <conditionalFormatting sqref="M131">
    <cfRule type="expression" dxfId="319" priority="19">
      <formula>AND(M131="",M132="")</formula>
    </cfRule>
  </conditionalFormatting>
  <conditionalFormatting sqref="M132">
    <cfRule type="expression" dxfId="318" priority="18">
      <formula>AND(M131="",M132="")</formula>
    </cfRule>
    <cfRule type="expression" dxfId="317" priority="20">
      <formula>$M$150=TRUE</formula>
    </cfRule>
  </conditionalFormatting>
  <conditionalFormatting sqref="M26:N26">
    <cfRule type="expression" dxfId="316" priority="130">
      <formula>AND(D24="○",K25="",M26="")</formula>
    </cfRule>
    <cfRule type="expression" dxfId="315" priority="138">
      <formula>AND($F$166=TRUE,$K$166="",$M$167="")</formula>
    </cfRule>
  </conditionalFormatting>
  <conditionalFormatting sqref="M50:N50">
    <cfRule type="expression" dxfId="314" priority="105">
      <formula>AND(D48="○",K49="",M50="")</formula>
    </cfRule>
    <cfRule type="expression" dxfId="313" priority="113">
      <formula>AND($F$166=TRUE,$K$166="",$M$167="")</formula>
    </cfRule>
  </conditionalFormatting>
  <conditionalFormatting sqref="M75:N75">
    <cfRule type="expression" dxfId="312" priority="80">
      <formula>AND(D73="○",K74="",M75="")</formula>
    </cfRule>
    <cfRule type="expression" dxfId="311" priority="88">
      <formula>AND($F$166=TRUE,$K$166="",$M$167="")</formula>
    </cfRule>
  </conditionalFormatting>
  <conditionalFormatting sqref="M99:N99">
    <cfRule type="expression" dxfId="310" priority="63">
      <formula>AND($F$166=TRUE,$K$166="",$M$167="")</formula>
    </cfRule>
    <cfRule type="expression" dxfId="309" priority="55">
      <formula>AND(D97="○",K98="",M99="")</formula>
    </cfRule>
  </conditionalFormatting>
  <conditionalFormatting sqref="M125:N125">
    <cfRule type="expression" dxfId="308" priority="30">
      <formula>AND(D123="○",K124="",M125="")</formula>
    </cfRule>
    <cfRule type="expression" dxfId="307" priority="38">
      <formula>AND($F$166=TRUE,$K$166="",$M$167="")</formula>
    </cfRule>
  </conditionalFormatting>
  <conditionalFormatting sqref="M149:N149">
    <cfRule type="expression" dxfId="306" priority="5">
      <formula>AND(D147="○",K148="",M149="")</formula>
    </cfRule>
    <cfRule type="expression" dxfId="305" priority="13">
      <formula>AND($F$166=TRUE,$K$166="",$M$167="")</formula>
    </cfRule>
  </conditionalFormatting>
  <conditionalFormatting sqref="N10">
    <cfRule type="expression" dxfId="304" priority="136">
      <formula>AND(M9="○",N10="")</formula>
    </cfRule>
  </conditionalFormatting>
  <conditionalFormatting sqref="N11">
    <cfRule type="expression" dxfId="303" priority="135">
      <formula>AND(M9="○",N11="")</formula>
    </cfRule>
  </conditionalFormatting>
  <conditionalFormatting sqref="N21">
    <cfRule type="expression" dxfId="302" priority="139">
      <formula>AND(D21="○",K21&lt;&gt;"",N21="")</formula>
    </cfRule>
  </conditionalFormatting>
  <conditionalFormatting sqref="N22">
    <cfRule type="expression" dxfId="301" priority="133">
      <formula>AND(D21="○",K22&lt;&gt;"",N22="")</formula>
    </cfRule>
  </conditionalFormatting>
  <conditionalFormatting sqref="N25">
    <cfRule type="expression" dxfId="300" priority="129">
      <formula>AND(D24="○",K25&lt;&gt;"",N25="")</formula>
    </cfRule>
  </conditionalFormatting>
  <conditionalFormatting sqref="N34">
    <cfRule type="expression" dxfId="299" priority="111">
      <formula>AND(M33="○",N34="")</formula>
    </cfRule>
  </conditionalFormatting>
  <conditionalFormatting sqref="N35">
    <cfRule type="expression" dxfId="298" priority="110">
      <formula>AND(M33="○",N35="")</formula>
    </cfRule>
  </conditionalFormatting>
  <conditionalFormatting sqref="N45">
    <cfRule type="expression" dxfId="297" priority="114">
      <formula>AND(D45="○",K45&lt;&gt;"",N45="")</formula>
    </cfRule>
  </conditionalFormatting>
  <conditionalFormatting sqref="N46">
    <cfRule type="expression" dxfId="296" priority="108">
      <formula>AND(D45="○",K46&lt;&gt;"",N46="")</formula>
    </cfRule>
  </conditionalFormatting>
  <conditionalFormatting sqref="N49">
    <cfRule type="expression" dxfId="295" priority="104">
      <formula>AND(D48="○",K49&lt;&gt;"",N49="")</formula>
    </cfRule>
  </conditionalFormatting>
  <conditionalFormatting sqref="N59">
    <cfRule type="expression" dxfId="294" priority="86">
      <formula>AND(M58="○",N59="")</formula>
    </cfRule>
  </conditionalFormatting>
  <conditionalFormatting sqref="N60">
    <cfRule type="expression" dxfId="293" priority="85">
      <formula>AND(M58="○",N60="")</formula>
    </cfRule>
  </conditionalFormatting>
  <conditionalFormatting sqref="N70">
    <cfRule type="expression" dxfId="292" priority="89">
      <formula>AND(D70="○",K70&lt;&gt;"",N70="")</formula>
    </cfRule>
  </conditionalFormatting>
  <conditionalFormatting sqref="N71">
    <cfRule type="expression" dxfId="291" priority="83">
      <formula>AND(D70="○",K71&lt;&gt;"",N71="")</formula>
    </cfRule>
  </conditionalFormatting>
  <conditionalFormatting sqref="N74">
    <cfRule type="expression" dxfId="290" priority="79">
      <formula>AND(D73="○",K74&lt;&gt;"",N74="")</formula>
    </cfRule>
  </conditionalFormatting>
  <conditionalFormatting sqref="N83">
    <cfRule type="expression" dxfId="289" priority="61">
      <formula>AND(M82="○",N83="")</formula>
    </cfRule>
  </conditionalFormatting>
  <conditionalFormatting sqref="N84">
    <cfRule type="expression" dxfId="288" priority="60">
      <formula>AND(M82="○",N84="")</formula>
    </cfRule>
  </conditionalFormatting>
  <conditionalFormatting sqref="N94">
    <cfRule type="expression" dxfId="287" priority="64">
      <formula>AND(D94="○",K94&lt;&gt;"",N94="")</formula>
    </cfRule>
  </conditionalFormatting>
  <conditionalFormatting sqref="N95">
    <cfRule type="expression" dxfId="286" priority="58">
      <formula>AND(D94="○",K95&lt;&gt;"",N95="")</formula>
    </cfRule>
  </conditionalFormatting>
  <conditionalFormatting sqref="N98">
    <cfRule type="expression" dxfId="285" priority="54">
      <formula>AND(D97="○",K98&lt;&gt;"",N98="")</formula>
    </cfRule>
  </conditionalFormatting>
  <conditionalFormatting sqref="N109">
    <cfRule type="expression" dxfId="284" priority="36">
      <formula>AND(M108="○",N109="")</formula>
    </cfRule>
  </conditionalFormatting>
  <conditionalFormatting sqref="N110">
    <cfRule type="expression" dxfId="283" priority="35">
      <formula>AND(M108="○",N110="")</formula>
    </cfRule>
  </conditionalFormatting>
  <conditionalFormatting sqref="N120">
    <cfRule type="expression" dxfId="282" priority="39">
      <formula>AND(D120="○",K120&lt;&gt;"",N120="")</formula>
    </cfRule>
  </conditionalFormatting>
  <conditionalFormatting sqref="N121">
    <cfRule type="expression" dxfId="281" priority="33">
      <formula>AND(D120="○",K121&lt;&gt;"",N121="")</formula>
    </cfRule>
  </conditionalFormatting>
  <conditionalFormatting sqref="N124">
    <cfRule type="expression" dxfId="280" priority="29">
      <formula>AND(D123="○",K124&lt;&gt;"",N124="")</formula>
    </cfRule>
  </conditionalFormatting>
  <conditionalFormatting sqref="N133">
    <cfRule type="expression" dxfId="279" priority="11">
      <formula>AND(M132="○",N133="")</formula>
    </cfRule>
  </conditionalFormatting>
  <conditionalFormatting sqref="N134">
    <cfRule type="expression" dxfId="278" priority="10">
      <formula>AND(M132="○",N134="")</formula>
    </cfRule>
  </conditionalFormatting>
  <conditionalFormatting sqref="N144">
    <cfRule type="expression" dxfId="277" priority="14">
      <formula>AND(D144="○",K144&lt;&gt;"",N144="")</formula>
    </cfRule>
  </conditionalFormatting>
  <conditionalFormatting sqref="N145">
    <cfRule type="expression" dxfId="276" priority="8">
      <formula>AND(D144="○",K145&lt;&gt;"",N145="")</formula>
    </cfRule>
  </conditionalFormatting>
  <conditionalFormatting sqref="N148">
    <cfRule type="expression" dxfId="275" priority="4">
      <formula>AND(D147="○",K148&lt;&gt;"",N148="")</formula>
    </cfRule>
  </conditionalFormatting>
  <conditionalFormatting sqref="P26">
    <cfRule type="expression" dxfId="274" priority="126">
      <formula>AND(D24="○",M26&lt;&gt;"",P26="")</formula>
    </cfRule>
  </conditionalFormatting>
  <conditionalFormatting sqref="P50">
    <cfRule type="expression" dxfId="273" priority="101">
      <formula>AND(D48="○",M50&lt;&gt;"",P50="")</formula>
    </cfRule>
  </conditionalFormatting>
  <conditionalFormatting sqref="P75">
    <cfRule type="expression" dxfId="272" priority="76">
      <formula>AND(D73="○",M75&lt;&gt;"",P75="")</formula>
    </cfRule>
  </conditionalFormatting>
  <conditionalFormatting sqref="P99">
    <cfRule type="expression" dxfId="271" priority="51">
      <formula>AND(D97="○",M99&lt;&gt;"",P99="")</formula>
    </cfRule>
  </conditionalFormatting>
  <conditionalFormatting sqref="P125">
    <cfRule type="expression" dxfId="270" priority="26">
      <formula>AND(D123="○",M125&lt;&gt;"",P125="")</formula>
    </cfRule>
  </conditionalFormatting>
  <conditionalFormatting sqref="P149">
    <cfRule type="expression" dxfId="269" priority="1">
      <formula>AND(D147="○",M149&lt;&gt;"",P149="")</formula>
    </cfRule>
  </conditionalFormatting>
  <conditionalFormatting sqref="R25:S25">
    <cfRule type="expression" dxfId="268" priority="128">
      <formula>AND(D24="○",K25&lt;&gt;"",R25="")</formula>
    </cfRule>
  </conditionalFormatting>
  <conditionalFormatting sqref="R49:S49">
    <cfRule type="expression" dxfId="267" priority="103">
      <formula>AND(D48="○",K49&lt;&gt;"",R49="")</formula>
    </cfRule>
  </conditionalFormatting>
  <conditionalFormatting sqref="R74:S74">
    <cfRule type="expression" dxfId="266" priority="78">
      <formula>AND(D73="○",K74&lt;&gt;"",R74="")</formula>
    </cfRule>
  </conditionalFormatting>
  <conditionalFormatting sqref="R98:S98">
    <cfRule type="expression" dxfId="265" priority="53">
      <formula>AND(D97="○",K98&lt;&gt;"",R98="")</formula>
    </cfRule>
  </conditionalFormatting>
  <conditionalFormatting sqref="R124:S124">
    <cfRule type="expression" dxfId="264" priority="28">
      <formula>AND(D123="○",K124&lt;&gt;"",R124="")</formula>
    </cfRule>
  </conditionalFormatting>
  <conditionalFormatting sqref="R148:S148">
    <cfRule type="expression" dxfId="263" priority="3">
      <formula>AND(D147="○",K148&lt;&gt;"",R148="")</formula>
    </cfRule>
  </conditionalFormatting>
  <conditionalFormatting sqref="U25">
    <cfRule type="expression" dxfId="262" priority="127">
      <formula>AND(D24="○",K25&lt;&gt;"",U25="")</formula>
    </cfRule>
  </conditionalFormatting>
  <conditionalFormatting sqref="U49">
    <cfRule type="expression" dxfId="261" priority="102">
      <formula>AND(D48="○",K49&lt;&gt;"",U49="")</formula>
    </cfRule>
  </conditionalFormatting>
  <conditionalFormatting sqref="U74">
    <cfRule type="expression" dxfId="260" priority="77">
      <formula>AND(D73="○",K74&lt;&gt;"",U74="")</formula>
    </cfRule>
  </conditionalFormatting>
  <conditionalFormatting sqref="U98">
    <cfRule type="expression" dxfId="259" priority="52">
      <formula>AND(D97="○",K98&lt;&gt;"",U98="")</formula>
    </cfRule>
  </conditionalFormatting>
  <conditionalFormatting sqref="U124">
    <cfRule type="expression" dxfId="258" priority="27">
      <formula>AND(D123="○",K124&lt;&gt;"",U124="")</formula>
    </cfRule>
  </conditionalFormatting>
  <conditionalFormatting sqref="U148">
    <cfRule type="expression" dxfId="257" priority="2">
      <formula>AND(D147="○",K148&lt;&gt;"",U148="")</formula>
    </cfRule>
  </conditionalFormatting>
  <conditionalFormatting sqref="X13:AA13">
    <cfRule type="containsText" dxfId="256" priority="150" operator="containsText" text="都外設置NG">
      <formula>NOT(ISERROR(SEARCH("都外設置NG",X13)))</formula>
    </cfRule>
  </conditionalFormatting>
  <conditionalFormatting sqref="X37:AA37">
    <cfRule type="containsText" dxfId="255" priority="125" operator="containsText" text="都外設置NG">
      <formula>NOT(ISERROR(SEARCH("都外設置NG",X37)))</formula>
    </cfRule>
  </conditionalFormatting>
  <conditionalFormatting sqref="X62:AA62">
    <cfRule type="containsText" dxfId="254" priority="100" operator="containsText" text="都外設置NG">
      <formula>NOT(ISERROR(SEARCH("都外設置NG",X62)))</formula>
    </cfRule>
  </conditionalFormatting>
  <conditionalFormatting sqref="X86:AA86">
    <cfRule type="containsText" dxfId="253" priority="75" operator="containsText" text="都外設置NG">
      <formula>NOT(ISERROR(SEARCH("都外設置NG",X86)))</formula>
    </cfRule>
  </conditionalFormatting>
  <conditionalFormatting sqref="X112:AA112">
    <cfRule type="containsText" dxfId="252" priority="50" operator="containsText" text="都外設置NG">
      <formula>NOT(ISERROR(SEARCH("都外設置NG",X112)))</formula>
    </cfRule>
  </conditionalFormatting>
  <conditionalFormatting sqref="X136:AA136">
    <cfRule type="containsText" dxfId="251" priority="25" operator="containsText" text="都外設置NG">
      <formula>NOT(ISERROR(SEARCH("都外設置NG",X136)))</formula>
    </cfRule>
  </conditionalFormatting>
  <dataValidations count="6">
    <dataValidation imeMode="off" allowBlank="1" showInputMessage="1" showErrorMessage="1" sqref="K21:N22 K25:U26 K15:O15 X17:Z18 K45:N46 K49:U50 K39:O39 X41:Z42 K70:N71 K74:U75 K64:O64 X66:Z67 K94:N95 K98:U99 K88:O88 X90:Z91 K120:N121 K124:U125 K114:O114 X116:Z117 K144:N145 K148:U149 K138:O138 X140:Z141" xr:uid="{00000000-0002-0000-0200-000000000000}"/>
    <dataValidation imeMode="on" allowBlank="1" showInputMessage="1" showErrorMessage="1" sqref="K24:Z24 D7:I14 D17:R18 I19:AA19 M16:AA16 K48:Z48 D31:I38 D41:R42 I43:AA43 M40:AA40 K73:Z73 D56:I63 D66:R67 I68:AA68 M65:AA65 K97:Z97 D80:I87 D90:R91 I92:AA92 M89:AA89 K123:Z123 D106:I113 D116:R117 I118:AA118 M115:AA115 K147:Z147 D130:I137 D140:R141 I142:AA142 M139:AA139" xr:uid="{00000000-0002-0000-0200-000001000000}"/>
    <dataValidation type="list" allowBlank="1" showInputMessage="1" showErrorMessage="1" sqref="M8:M9 M32:M33 M57:M58 M81:M82 M107:M108 M131:M132" xr:uid="{00000000-0002-0000-0200-000002000000}">
      <formula1>AE8:AF8</formula1>
    </dataValidation>
    <dataValidation type="list" allowBlank="1" showInputMessage="1" showErrorMessage="1" sqref="N10:N11 N34:N35 N59:N60 N83:N84 N109:N110 N133:N134" xr:uid="{00000000-0002-0000-0200-000003000000}">
      <formula1>AE10:AF10</formula1>
    </dataValidation>
    <dataValidation type="list" allowBlank="1" showInputMessage="1" showErrorMessage="1" sqref="D21 D45 D24 D48 D70 D94 D73 D97 D120 D144 D123 D147" xr:uid="{00000000-0002-0000-0200-000004000000}">
      <formula1>AE21:AF21</formula1>
    </dataValidation>
    <dataValidation type="list" allowBlank="1" showInputMessage="1" showErrorMessage="1" promptTitle="都県を選択してください" prompt="ドロップダウンリスト ▼から選択できます " sqref="J16:L16 J40:L40 J65:L65 J89:L89 J115:L115 J139:L139" xr:uid="{00000000-0002-0000-0200-000005000000}">
      <formula1>AD18:AD25</formula1>
    </dataValidation>
  </dataValidations>
  <pageMargins left="1.1023622047244095" right="0.31496062992125984" top="0.35433070866141736" bottom="0.35433070866141736"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sheetPr>
  <dimension ref="A1:T34"/>
  <sheetViews>
    <sheetView view="pageBreakPreview" zoomScaleNormal="100" zoomScaleSheetLayoutView="100" workbookViewId="0">
      <selection sqref="A1:L1"/>
    </sheetView>
  </sheetViews>
  <sheetFormatPr defaultRowHeight="18"/>
  <cols>
    <col min="1" max="1" width="4.58203125" customWidth="1"/>
    <col min="2" max="2" width="5.5" customWidth="1"/>
    <col min="3" max="4" width="6.33203125" customWidth="1"/>
    <col min="5" max="5" width="21.5" customWidth="1"/>
    <col min="6" max="8" width="4.08203125" customWidth="1"/>
    <col min="9" max="9" width="5.08203125" customWidth="1"/>
    <col min="10" max="11" width="3.25" customWidth="1"/>
    <col min="13" max="15" width="2.75" customWidth="1"/>
    <col min="16" max="17" width="3.58203125" customWidth="1"/>
  </cols>
  <sheetData>
    <row r="1" spans="1:20" ht="33" customHeight="1">
      <c r="A1" s="1089" t="s">
        <v>1120</v>
      </c>
      <c r="B1" s="1089"/>
      <c r="C1" s="1089"/>
      <c r="D1" s="1089"/>
      <c r="E1" s="1089"/>
      <c r="F1" s="1089"/>
      <c r="G1" s="1089"/>
      <c r="H1" s="1089"/>
      <c r="I1" s="1089"/>
      <c r="J1" s="1089"/>
      <c r="K1" s="1089"/>
      <c r="L1" s="1089"/>
      <c r="M1" s="138"/>
      <c r="N1" s="138"/>
      <c r="O1" s="138"/>
      <c r="P1" s="138"/>
      <c r="Q1" s="138"/>
      <c r="R1" s="138"/>
      <c r="S1" s="138"/>
      <c r="T1" s="138"/>
    </row>
    <row r="2" spans="1:20" ht="28.5" customHeight="1">
      <c r="A2" s="878" t="s">
        <v>892</v>
      </c>
      <c r="B2" s="879"/>
      <c r="C2" s="879"/>
      <c r="D2" s="740" t="s">
        <v>93</v>
      </c>
      <c r="E2" s="742"/>
      <c r="F2" s="686" t="s">
        <v>92</v>
      </c>
      <c r="G2" s="687"/>
      <c r="H2" s="688"/>
      <c r="I2" s="686" t="s">
        <v>1027</v>
      </c>
      <c r="J2" s="687"/>
      <c r="K2" s="687"/>
      <c r="L2" s="688"/>
      <c r="M2" s="970" t="s">
        <v>525</v>
      </c>
      <c r="N2" s="971"/>
      <c r="O2" s="972"/>
      <c r="P2" s="903" t="s">
        <v>95</v>
      </c>
      <c r="Q2" s="904"/>
    </row>
    <row r="3" spans="1:20">
      <c r="A3" s="88" t="s">
        <v>83</v>
      </c>
      <c r="B3" s="1081"/>
      <c r="C3" s="1081"/>
      <c r="D3" s="1082"/>
      <c r="E3" s="1082"/>
      <c r="F3" s="1083"/>
      <c r="G3" s="1083"/>
      <c r="H3" s="1083"/>
      <c r="I3" s="1084"/>
      <c r="J3" s="1084"/>
      <c r="K3" s="1085"/>
      <c r="L3" s="87" t="s">
        <v>96</v>
      </c>
      <c r="M3" s="1086" t="str">
        <f>IFERROR((I3/$I$23),"")</f>
        <v/>
      </c>
      <c r="N3" s="1086"/>
      <c r="O3" s="1086"/>
      <c r="P3" s="1087"/>
      <c r="Q3" s="1088"/>
    </row>
    <row r="4" spans="1:20">
      <c r="A4" s="88" t="s">
        <v>84</v>
      </c>
      <c r="B4" s="1081"/>
      <c r="C4" s="1081"/>
      <c r="D4" s="1082"/>
      <c r="E4" s="1082"/>
      <c r="F4" s="1083"/>
      <c r="G4" s="1083"/>
      <c r="H4" s="1083"/>
      <c r="I4" s="1084"/>
      <c r="J4" s="1084"/>
      <c r="K4" s="1085"/>
      <c r="L4" s="87" t="s">
        <v>96</v>
      </c>
      <c r="M4" s="1086" t="str">
        <f t="shared" ref="M4:M22" si="0">IFERROR((I4/$I$23),"")</f>
        <v/>
      </c>
      <c r="N4" s="1086"/>
      <c r="O4" s="1086"/>
      <c r="P4" s="1087"/>
      <c r="Q4" s="1088"/>
    </row>
    <row r="5" spans="1:20">
      <c r="A5" s="88" t="s">
        <v>85</v>
      </c>
      <c r="B5" s="1081"/>
      <c r="C5" s="1081"/>
      <c r="D5" s="1082"/>
      <c r="E5" s="1082"/>
      <c r="F5" s="1083"/>
      <c r="G5" s="1083"/>
      <c r="H5" s="1083"/>
      <c r="I5" s="1084"/>
      <c r="J5" s="1084"/>
      <c r="K5" s="1085"/>
      <c r="L5" s="87" t="s">
        <v>96</v>
      </c>
      <c r="M5" s="1086" t="str">
        <f t="shared" si="0"/>
        <v/>
      </c>
      <c r="N5" s="1086"/>
      <c r="O5" s="1086"/>
      <c r="P5" s="1087"/>
      <c r="Q5" s="1088"/>
    </row>
    <row r="6" spans="1:20">
      <c r="A6" s="88" t="s">
        <v>86</v>
      </c>
      <c r="B6" s="1081"/>
      <c r="C6" s="1081"/>
      <c r="D6" s="1082"/>
      <c r="E6" s="1082"/>
      <c r="F6" s="1083"/>
      <c r="G6" s="1083"/>
      <c r="H6" s="1083"/>
      <c r="I6" s="1084"/>
      <c r="J6" s="1084"/>
      <c r="K6" s="1085"/>
      <c r="L6" s="87" t="s">
        <v>96</v>
      </c>
      <c r="M6" s="1086" t="str">
        <f t="shared" si="0"/>
        <v/>
      </c>
      <c r="N6" s="1086"/>
      <c r="O6" s="1086"/>
      <c r="P6" s="1087"/>
      <c r="Q6" s="1088"/>
    </row>
    <row r="7" spans="1:20">
      <c r="A7" s="88" t="s">
        <v>87</v>
      </c>
      <c r="B7" s="1081"/>
      <c r="C7" s="1081"/>
      <c r="D7" s="1082"/>
      <c r="E7" s="1082"/>
      <c r="F7" s="1083"/>
      <c r="G7" s="1083"/>
      <c r="H7" s="1083"/>
      <c r="I7" s="1084"/>
      <c r="J7" s="1084"/>
      <c r="K7" s="1085"/>
      <c r="L7" s="87" t="s">
        <v>96</v>
      </c>
      <c r="M7" s="1086" t="str">
        <f t="shared" si="0"/>
        <v/>
      </c>
      <c r="N7" s="1086"/>
      <c r="O7" s="1086"/>
      <c r="P7" s="1087"/>
      <c r="Q7" s="1088"/>
    </row>
    <row r="8" spans="1:20">
      <c r="A8" s="88" t="s">
        <v>88</v>
      </c>
      <c r="B8" s="1081"/>
      <c r="C8" s="1081"/>
      <c r="D8" s="1082"/>
      <c r="E8" s="1082"/>
      <c r="F8" s="1083"/>
      <c r="G8" s="1083"/>
      <c r="H8" s="1083"/>
      <c r="I8" s="1084"/>
      <c r="J8" s="1084"/>
      <c r="K8" s="1085"/>
      <c r="L8" s="87" t="s">
        <v>96</v>
      </c>
      <c r="M8" s="1086" t="str">
        <f t="shared" si="0"/>
        <v/>
      </c>
      <c r="N8" s="1086"/>
      <c r="O8" s="1086"/>
      <c r="P8" s="1087"/>
      <c r="Q8" s="1088"/>
    </row>
    <row r="9" spans="1:20">
      <c r="A9" s="88" t="s">
        <v>410</v>
      </c>
      <c r="B9" s="1081"/>
      <c r="C9" s="1081"/>
      <c r="D9" s="1082"/>
      <c r="E9" s="1082"/>
      <c r="F9" s="1083"/>
      <c r="G9" s="1083"/>
      <c r="H9" s="1083"/>
      <c r="I9" s="1084"/>
      <c r="J9" s="1084"/>
      <c r="K9" s="1085"/>
      <c r="L9" s="87" t="s">
        <v>96</v>
      </c>
      <c r="M9" s="1086" t="str">
        <f t="shared" si="0"/>
        <v/>
      </c>
      <c r="N9" s="1086"/>
      <c r="O9" s="1086"/>
      <c r="P9" s="1087"/>
      <c r="Q9" s="1088"/>
    </row>
    <row r="10" spans="1:20">
      <c r="A10" s="88" t="s">
        <v>1028</v>
      </c>
      <c r="B10" s="1081"/>
      <c r="C10" s="1081"/>
      <c r="D10" s="1082"/>
      <c r="E10" s="1082"/>
      <c r="F10" s="1083"/>
      <c r="G10" s="1083"/>
      <c r="H10" s="1083"/>
      <c r="I10" s="1084"/>
      <c r="J10" s="1084"/>
      <c r="K10" s="1085"/>
      <c r="L10" s="87" t="s">
        <v>96</v>
      </c>
      <c r="M10" s="1086" t="str">
        <f t="shared" si="0"/>
        <v/>
      </c>
      <c r="N10" s="1086"/>
      <c r="O10" s="1086"/>
      <c r="P10" s="1087"/>
      <c r="Q10" s="1088"/>
    </row>
    <row r="11" spans="1:20">
      <c r="A11" s="88" t="s">
        <v>1029</v>
      </c>
      <c r="B11" s="1081"/>
      <c r="C11" s="1081"/>
      <c r="D11" s="1082"/>
      <c r="E11" s="1082"/>
      <c r="F11" s="1083"/>
      <c r="G11" s="1083"/>
      <c r="H11" s="1083"/>
      <c r="I11" s="1084"/>
      <c r="J11" s="1084"/>
      <c r="K11" s="1085"/>
      <c r="L11" s="87" t="s">
        <v>96</v>
      </c>
      <c r="M11" s="1086" t="str">
        <f t="shared" si="0"/>
        <v/>
      </c>
      <c r="N11" s="1086"/>
      <c r="O11" s="1086"/>
      <c r="P11" s="1087"/>
      <c r="Q11" s="1088"/>
    </row>
    <row r="12" spans="1:20">
      <c r="A12" s="88" t="s">
        <v>1030</v>
      </c>
      <c r="B12" s="1081"/>
      <c r="C12" s="1081"/>
      <c r="D12" s="1082"/>
      <c r="E12" s="1082"/>
      <c r="F12" s="1083"/>
      <c r="G12" s="1083"/>
      <c r="H12" s="1083"/>
      <c r="I12" s="1084"/>
      <c r="J12" s="1084"/>
      <c r="K12" s="1085"/>
      <c r="L12" s="87" t="s">
        <v>96</v>
      </c>
      <c r="M12" s="1086" t="str">
        <f t="shared" si="0"/>
        <v/>
      </c>
      <c r="N12" s="1086"/>
      <c r="O12" s="1086"/>
      <c r="P12" s="1087"/>
      <c r="Q12" s="1088"/>
    </row>
    <row r="13" spans="1:20">
      <c r="A13" s="88" t="s">
        <v>1031</v>
      </c>
      <c r="B13" s="1081"/>
      <c r="C13" s="1081"/>
      <c r="D13" s="1082"/>
      <c r="E13" s="1082"/>
      <c r="F13" s="1083"/>
      <c r="G13" s="1083"/>
      <c r="H13" s="1083"/>
      <c r="I13" s="1084"/>
      <c r="J13" s="1084"/>
      <c r="K13" s="1085"/>
      <c r="L13" s="87" t="s">
        <v>96</v>
      </c>
      <c r="M13" s="1086" t="str">
        <f t="shared" si="0"/>
        <v/>
      </c>
      <c r="N13" s="1086"/>
      <c r="O13" s="1086"/>
      <c r="P13" s="1087"/>
      <c r="Q13" s="1088"/>
    </row>
    <row r="14" spans="1:20">
      <c r="A14" s="88" t="s">
        <v>1032</v>
      </c>
      <c r="B14" s="1081"/>
      <c r="C14" s="1081"/>
      <c r="D14" s="1082"/>
      <c r="E14" s="1082"/>
      <c r="F14" s="1083"/>
      <c r="G14" s="1083"/>
      <c r="H14" s="1083"/>
      <c r="I14" s="1084"/>
      <c r="J14" s="1084"/>
      <c r="K14" s="1085"/>
      <c r="L14" s="87" t="s">
        <v>96</v>
      </c>
      <c r="M14" s="1086" t="str">
        <f t="shared" si="0"/>
        <v/>
      </c>
      <c r="N14" s="1086"/>
      <c r="O14" s="1086"/>
      <c r="P14" s="1087"/>
      <c r="Q14" s="1088"/>
    </row>
    <row r="15" spans="1:20">
      <c r="A15" s="88" t="s">
        <v>1033</v>
      </c>
      <c r="B15" s="1081"/>
      <c r="C15" s="1081"/>
      <c r="D15" s="1082"/>
      <c r="E15" s="1082"/>
      <c r="F15" s="1083"/>
      <c r="G15" s="1083"/>
      <c r="H15" s="1083"/>
      <c r="I15" s="1084"/>
      <c r="J15" s="1084"/>
      <c r="K15" s="1085"/>
      <c r="L15" s="87" t="s">
        <v>96</v>
      </c>
      <c r="M15" s="1086" t="str">
        <f t="shared" si="0"/>
        <v/>
      </c>
      <c r="N15" s="1086"/>
      <c r="O15" s="1086"/>
      <c r="P15" s="1087"/>
      <c r="Q15" s="1088"/>
    </row>
    <row r="16" spans="1:20">
      <c r="A16" s="88" t="s">
        <v>1034</v>
      </c>
      <c r="B16" s="1081"/>
      <c r="C16" s="1081"/>
      <c r="D16" s="1082"/>
      <c r="E16" s="1082"/>
      <c r="F16" s="1083"/>
      <c r="G16" s="1083"/>
      <c r="H16" s="1083"/>
      <c r="I16" s="1084"/>
      <c r="J16" s="1084"/>
      <c r="K16" s="1085"/>
      <c r="L16" s="87" t="s">
        <v>96</v>
      </c>
      <c r="M16" s="1086" t="str">
        <f t="shared" si="0"/>
        <v/>
      </c>
      <c r="N16" s="1086"/>
      <c r="O16" s="1086"/>
      <c r="P16" s="1087"/>
      <c r="Q16" s="1088"/>
    </row>
    <row r="17" spans="1:19">
      <c r="A17" s="88" t="s">
        <v>1035</v>
      </c>
      <c r="B17" s="1081"/>
      <c r="C17" s="1081"/>
      <c r="D17" s="1082"/>
      <c r="E17" s="1082"/>
      <c r="F17" s="1083"/>
      <c r="G17" s="1083"/>
      <c r="H17" s="1083"/>
      <c r="I17" s="1084"/>
      <c r="J17" s="1084"/>
      <c r="K17" s="1085"/>
      <c r="L17" s="87" t="s">
        <v>96</v>
      </c>
      <c r="M17" s="1086" t="str">
        <f t="shared" si="0"/>
        <v/>
      </c>
      <c r="N17" s="1086"/>
      <c r="O17" s="1086"/>
      <c r="P17" s="1087"/>
      <c r="Q17" s="1088"/>
    </row>
    <row r="18" spans="1:19">
      <c r="A18" s="88" t="s">
        <v>1036</v>
      </c>
      <c r="B18" s="1081"/>
      <c r="C18" s="1081"/>
      <c r="D18" s="1082"/>
      <c r="E18" s="1082"/>
      <c r="F18" s="1083"/>
      <c r="G18" s="1083"/>
      <c r="H18" s="1083"/>
      <c r="I18" s="1084"/>
      <c r="J18" s="1084"/>
      <c r="K18" s="1085"/>
      <c r="L18" s="87" t="s">
        <v>96</v>
      </c>
      <c r="M18" s="1086" t="str">
        <f t="shared" si="0"/>
        <v/>
      </c>
      <c r="N18" s="1086"/>
      <c r="O18" s="1086"/>
      <c r="P18" s="1087"/>
      <c r="Q18" s="1088"/>
    </row>
    <row r="19" spans="1:19">
      <c r="A19" s="88" t="s">
        <v>1037</v>
      </c>
      <c r="B19" s="1081"/>
      <c r="C19" s="1081"/>
      <c r="D19" s="1082"/>
      <c r="E19" s="1082"/>
      <c r="F19" s="1083"/>
      <c r="G19" s="1083"/>
      <c r="H19" s="1083"/>
      <c r="I19" s="1084"/>
      <c r="J19" s="1084"/>
      <c r="K19" s="1085"/>
      <c r="L19" s="87" t="s">
        <v>96</v>
      </c>
      <c r="M19" s="1086" t="str">
        <f t="shared" si="0"/>
        <v/>
      </c>
      <c r="N19" s="1086"/>
      <c r="O19" s="1086"/>
      <c r="P19" s="1087"/>
      <c r="Q19" s="1088"/>
    </row>
    <row r="20" spans="1:19">
      <c r="A20" s="88" t="s">
        <v>1038</v>
      </c>
      <c r="B20" s="1081"/>
      <c r="C20" s="1081"/>
      <c r="D20" s="1082"/>
      <c r="E20" s="1082"/>
      <c r="F20" s="1083"/>
      <c r="G20" s="1083"/>
      <c r="H20" s="1083"/>
      <c r="I20" s="1084"/>
      <c r="J20" s="1084"/>
      <c r="K20" s="1085"/>
      <c r="L20" s="87" t="s">
        <v>96</v>
      </c>
      <c r="M20" s="1086" t="str">
        <f t="shared" si="0"/>
        <v/>
      </c>
      <c r="N20" s="1086"/>
      <c r="O20" s="1086"/>
      <c r="P20" s="1087"/>
      <c r="Q20" s="1088"/>
    </row>
    <row r="21" spans="1:19">
      <c r="A21" s="88" t="s">
        <v>1039</v>
      </c>
      <c r="B21" s="1081"/>
      <c r="C21" s="1081"/>
      <c r="D21" s="1082"/>
      <c r="E21" s="1082"/>
      <c r="F21" s="1083"/>
      <c r="G21" s="1083"/>
      <c r="H21" s="1083"/>
      <c r="I21" s="1084"/>
      <c r="J21" s="1084"/>
      <c r="K21" s="1085"/>
      <c r="L21" s="87" t="s">
        <v>96</v>
      </c>
      <c r="M21" s="1086" t="str">
        <f t="shared" si="0"/>
        <v/>
      </c>
      <c r="N21" s="1086"/>
      <c r="O21" s="1086"/>
      <c r="P21" s="1087"/>
      <c r="Q21" s="1088"/>
    </row>
    <row r="22" spans="1:19">
      <c r="A22" s="88" t="s">
        <v>1040</v>
      </c>
      <c r="B22" s="1081"/>
      <c r="C22" s="1081"/>
      <c r="D22" s="1082"/>
      <c r="E22" s="1082"/>
      <c r="F22" s="1083"/>
      <c r="G22" s="1083"/>
      <c r="H22" s="1083"/>
      <c r="I22" s="1084"/>
      <c r="J22" s="1084"/>
      <c r="K22" s="1085"/>
      <c r="L22" s="87" t="s">
        <v>96</v>
      </c>
      <c r="M22" s="1086" t="str">
        <f t="shared" si="0"/>
        <v/>
      </c>
      <c r="N22" s="1086"/>
      <c r="O22" s="1086"/>
      <c r="P22" s="1087"/>
      <c r="Q22" s="1088"/>
    </row>
    <row r="23" spans="1:19" ht="27" customHeight="1">
      <c r="A23" s="686" t="s">
        <v>97</v>
      </c>
      <c r="B23" s="1097"/>
      <c r="C23" s="1097"/>
      <c r="D23" s="1097"/>
      <c r="E23" s="1097"/>
      <c r="F23" s="1097"/>
      <c r="G23" s="1097"/>
      <c r="H23" s="1097"/>
      <c r="I23" s="1096">
        <f>SUM(I3:K22)</f>
        <v>0</v>
      </c>
      <c r="J23" s="1096"/>
      <c r="K23" s="1096"/>
      <c r="L23" s="28" t="s">
        <v>96</v>
      </c>
      <c r="M23" s="1086">
        <f>IFERROR(SUM(M3:O22),"")</f>
        <v>0</v>
      </c>
      <c r="N23" s="1086"/>
      <c r="O23" s="1086"/>
      <c r="P23" s="527"/>
      <c r="Q23" s="528"/>
    </row>
    <row r="24" spans="1:19" ht="53.5" customHeight="1">
      <c r="A24" s="1077" t="s">
        <v>98</v>
      </c>
      <c r="B24" s="1078"/>
      <c r="C24" s="1078"/>
      <c r="D24" s="1078"/>
      <c r="E24" s="1079"/>
      <c r="F24" s="1098"/>
      <c r="G24" s="1098"/>
      <c r="H24" s="1098"/>
      <c r="I24" s="1098"/>
      <c r="J24" s="1098"/>
      <c r="K24" s="1098"/>
      <c r="L24" s="1098"/>
      <c r="M24" s="1098"/>
      <c r="N24" s="1098"/>
      <c r="O24" s="1098"/>
      <c r="P24" s="1098"/>
      <c r="Q24" s="1098"/>
    </row>
    <row r="25" spans="1:19" ht="28.5" customHeight="1">
      <c r="A25" s="1077" t="s">
        <v>99</v>
      </c>
      <c r="B25" s="1078"/>
      <c r="C25" s="1078"/>
      <c r="D25" s="1078"/>
      <c r="E25" s="1078"/>
      <c r="F25" s="1078"/>
      <c r="G25" s="1078"/>
      <c r="H25" s="1078"/>
      <c r="I25" s="1078"/>
      <c r="J25" s="1078"/>
      <c r="K25" s="1078"/>
      <c r="L25" s="1078"/>
      <c r="M25" s="1078"/>
      <c r="N25" s="1078"/>
      <c r="O25" s="1078"/>
      <c r="P25" s="1078"/>
      <c r="Q25" s="1079"/>
    </row>
    <row r="26" spans="1:19" ht="18" customHeight="1">
      <c r="A26" s="1090"/>
      <c r="B26" s="1091"/>
      <c r="C26" s="1091"/>
      <c r="D26" s="1091"/>
      <c r="E26" s="535" t="s">
        <v>102</v>
      </c>
      <c r="F26" s="1094"/>
      <c r="G26" s="1094"/>
      <c r="H26" s="1094"/>
      <c r="I26" s="1094"/>
      <c r="J26" s="1094"/>
      <c r="K26" s="1094"/>
      <c r="L26" s="538"/>
      <c r="M26" s="536" t="s">
        <v>100</v>
      </c>
      <c r="N26" s="537"/>
      <c r="O26" s="576"/>
      <c r="P26" s="22" t="s">
        <v>101</v>
      </c>
      <c r="Q26" s="531"/>
      <c r="S26" s="326"/>
    </row>
    <row r="27" spans="1:19">
      <c r="A27" s="1092"/>
      <c r="B27" s="1093"/>
      <c r="C27" s="1093"/>
      <c r="D27" s="1093"/>
      <c r="E27" s="530" t="s">
        <v>103</v>
      </c>
      <c r="F27" s="1095"/>
      <c r="G27" s="1095"/>
      <c r="H27" s="1095"/>
      <c r="I27" s="1095"/>
      <c r="J27" s="1095"/>
      <c r="K27" s="1095"/>
      <c r="L27" s="534"/>
      <c r="M27" s="29" t="s">
        <v>100</v>
      </c>
      <c r="N27" s="529"/>
      <c r="O27" s="577"/>
      <c r="P27" s="533" t="s">
        <v>101</v>
      </c>
      <c r="Q27" s="532"/>
      <c r="S27" s="326" t="s">
        <v>61</v>
      </c>
    </row>
    <row r="28" spans="1:19" ht="48.65" customHeight="1">
      <c r="A28" s="1077" t="s">
        <v>1121</v>
      </c>
      <c r="B28" s="1078"/>
      <c r="C28" s="1078"/>
      <c r="D28" s="1078"/>
      <c r="E28" s="1078"/>
      <c r="F28" s="1078"/>
      <c r="G28" s="1078"/>
      <c r="H28" s="1078"/>
      <c r="I28" s="1078"/>
      <c r="J28" s="1078"/>
      <c r="K28" s="1078"/>
      <c r="L28" s="1078"/>
      <c r="M28" s="1078"/>
      <c r="N28" s="1078"/>
      <c r="O28" s="1078"/>
      <c r="P28" s="1078"/>
      <c r="Q28" s="1079"/>
      <c r="S28" s="326" t="s">
        <v>62</v>
      </c>
    </row>
    <row r="29" spans="1:19">
      <c r="A29" s="1080" t="s">
        <v>1122</v>
      </c>
      <c r="B29" s="1080"/>
      <c r="C29" s="1080"/>
      <c r="D29" s="1080"/>
      <c r="E29" s="1080" t="s">
        <v>1123</v>
      </c>
      <c r="F29" s="1080"/>
      <c r="G29" s="1080"/>
      <c r="H29" s="1080"/>
      <c r="I29" s="1080" t="s">
        <v>1124</v>
      </c>
      <c r="J29" s="1080"/>
      <c r="K29" s="1080"/>
      <c r="L29" s="1080"/>
      <c r="M29" s="1080" t="s">
        <v>1125</v>
      </c>
      <c r="N29" s="1080"/>
      <c r="O29" s="1080"/>
      <c r="P29" s="1080"/>
      <c r="Q29" s="1080"/>
    </row>
    <row r="30" spans="1:19">
      <c r="A30" s="572" t="s">
        <v>83</v>
      </c>
      <c r="B30" s="938"/>
      <c r="C30" s="938"/>
      <c r="D30" s="938"/>
      <c r="E30" s="938"/>
      <c r="F30" s="938"/>
      <c r="G30" s="938"/>
      <c r="H30" s="938"/>
      <c r="I30" s="1075"/>
      <c r="J30" s="1075"/>
      <c r="K30" s="1076"/>
      <c r="L30" s="28" t="s">
        <v>53</v>
      </c>
      <c r="M30" s="1075"/>
      <c r="N30" s="1075"/>
      <c r="O30" s="1075"/>
      <c r="P30" s="1076"/>
      <c r="Q30" s="28" t="s">
        <v>1126</v>
      </c>
    </row>
    <row r="31" spans="1:19">
      <c r="A31" s="572" t="s">
        <v>84</v>
      </c>
      <c r="B31" s="938"/>
      <c r="C31" s="938"/>
      <c r="D31" s="938"/>
      <c r="E31" s="938"/>
      <c r="F31" s="938"/>
      <c r="G31" s="938"/>
      <c r="H31" s="938"/>
      <c r="I31" s="1075"/>
      <c r="J31" s="1075"/>
      <c r="K31" s="1076"/>
      <c r="L31" s="28" t="s">
        <v>53</v>
      </c>
      <c r="M31" s="1075"/>
      <c r="N31" s="1075"/>
      <c r="O31" s="1075"/>
      <c r="P31" s="1076"/>
      <c r="Q31" s="28" t="s">
        <v>1126</v>
      </c>
    </row>
    <row r="32" spans="1:19">
      <c r="A32" s="572" t="s">
        <v>85</v>
      </c>
      <c r="B32" s="938"/>
      <c r="C32" s="938"/>
      <c r="D32" s="938"/>
      <c r="E32" s="938"/>
      <c r="F32" s="938"/>
      <c r="G32" s="938"/>
      <c r="H32" s="938"/>
      <c r="I32" s="1075"/>
      <c r="J32" s="1075"/>
      <c r="K32" s="1076"/>
      <c r="L32" s="28" t="s">
        <v>53</v>
      </c>
      <c r="M32" s="1075"/>
      <c r="N32" s="1075"/>
      <c r="O32" s="1075"/>
      <c r="P32" s="1076"/>
      <c r="Q32" s="28" t="s">
        <v>1126</v>
      </c>
    </row>
    <row r="33" spans="1:17">
      <c r="A33" s="572" t="s">
        <v>86</v>
      </c>
      <c r="B33" s="938"/>
      <c r="C33" s="938"/>
      <c r="D33" s="938"/>
      <c r="E33" s="938"/>
      <c r="F33" s="938"/>
      <c r="G33" s="938"/>
      <c r="H33" s="938"/>
      <c r="I33" s="1075"/>
      <c r="J33" s="1075"/>
      <c r="K33" s="1076"/>
      <c r="L33" s="28" t="s">
        <v>53</v>
      </c>
      <c r="M33" s="1075"/>
      <c r="N33" s="1075"/>
      <c r="O33" s="1075"/>
      <c r="P33" s="1076"/>
      <c r="Q33" s="28" t="s">
        <v>1126</v>
      </c>
    </row>
    <row r="34" spans="1:17">
      <c r="A34" s="573" t="s">
        <v>87</v>
      </c>
      <c r="B34" s="938"/>
      <c r="C34" s="938"/>
      <c r="D34" s="938"/>
      <c r="E34" s="938"/>
      <c r="F34" s="938"/>
      <c r="G34" s="938"/>
      <c r="H34" s="938"/>
      <c r="I34" s="1075"/>
      <c r="J34" s="1075"/>
      <c r="K34" s="1076"/>
      <c r="L34" s="28" t="s">
        <v>53</v>
      </c>
      <c r="M34" s="1075"/>
      <c r="N34" s="1075"/>
      <c r="O34" s="1075"/>
      <c r="P34" s="1076"/>
      <c r="Q34" s="28" t="s">
        <v>1126</v>
      </c>
    </row>
  </sheetData>
  <mergeCells count="161">
    <mergeCell ref="A1:L1"/>
    <mergeCell ref="A25:Q25"/>
    <mergeCell ref="A26:D27"/>
    <mergeCell ref="F26:K26"/>
    <mergeCell ref="F27:K27"/>
    <mergeCell ref="M23:O23"/>
    <mergeCell ref="I23:K23"/>
    <mergeCell ref="A24:E24"/>
    <mergeCell ref="A23:H23"/>
    <mergeCell ref="F24:Q24"/>
    <mergeCell ref="B22:C22"/>
    <mergeCell ref="D22:E22"/>
    <mergeCell ref="F22:H22"/>
    <mergeCell ref="I22:K22"/>
    <mergeCell ref="M22:O22"/>
    <mergeCell ref="P22:Q22"/>
    <mergeCell ref="B21:C21"/>
    <mergeCell ref="D21:E21"/>
    <mergeCell ref="F21:H21"/>
    <mergeCell ref="I21:K21"/>
    <mergeCell ref="M21:O21"/>
    <mergeCell ref="P21:Q21"/>
    <mergeCell ref="B20:C20"/>
    <mergeCell ref="D20:E20"/>
    <mergeCell ref="F20:H20"/>
    <mergeCell ref="I20:K20"/>
    <mergeCell ref="M20:O20"/>
    <mergeCell ref="P20:Q20"/>
    <mergeCell ref="B19:C19"/>
    <mergeCell ref="D19:E19"/>
    <mergeCell ref="F19:H19"/>
    <mergeCell ref="I19:K19"/>
    <mergeCell ref="M19:O19"/>
    <mergeCell ref="P19:Q19"/>
    <mergeCell ref="B18:C18"/>
    <mergeCell ref="D18:E18"/>
    <mergeCell ref="F18:H18"/>
    <mergeCell ref="I18:K18"/>
    <mergeCell ref="M18:O18"/>
    <mergeCell ref="P18:Q18"/>
    <mergeCell ref="B17:C17"/>
    <mergeCell ref="D17:E17"/>
    <mergeCell ref="F17:H17"/>
    <mergeCell ref="I17:K17"/>
    <mergeCell ref="M17:O17"/>
    <mergeCell ref="P17:Q17"/>
    <mergeCell ref="B16:C16"/>
    <mergeCell ref="D16:E16"/>
    <mergeCell ref="F16:H16"/>
    <mergeCell ref="I16:K16"/>
    <mergeCell ref="M16:O16"/>
    <mergeCell ref="P16:Q16"/>
    <mergeCell ref="B15:C15"/>
    <mergeCell ref="D15:E15"/>
    <mergeCell ref="F15:H15"/>
    <mergeCell ref="I15:K15"/>
    <mergeCell ref="M15:O15"/>
    <mergeCell ref="P15:Q15"/>
    <mergeCell ref="B14:C14"/>
    <mergeCell ref="D14:E14"/>
    <mergeCell ref="F14:H14"/>
    <mergeCell ref="I14:K14"/>
    <mergeCell ref="M14:O14"/>
    <mergeCell ref="P14:Q14"/>
    <mergeCell ref="B13:C13"/>
    <mergeCell ref="D13:E13"/>
    <mergeCell ref="F13:H13"/>
    <mergeCell ref="I13:K13"/>
    <mergeCell ref="M13:O13"/>
    <mergeCell ref="P13:Q13"/>
    <mergeCell ref="B12:C12"/>
    <mergeCell ref="D12:E12"/>
    <mergeCell ref="F12:H12"/>
    <mergeCell ref="I12:K12"/>
    <mergeCell ref="M12:O12"/>
    <mergeCell ref="P12:Q12"/>
    <mergeCell ref="B11:C11"/>
    <mergeCell ref="D11:E11"/>
    <mergeCell ref="F11:H11"/>
    <mergeCell ref="I11:K11"/>
    <mergeCell ref="M11:O11"/>
    <mergeCell ref="P11:Q11"/>
    <mergeCell ref="B10:C10"/>
    <mergeCell ref="D10:E10"/>
    <mergeCell ref="F10:H10"/>
    <mergeCell ref="I10:K10"/>
    <mergeCell ref="M10:O10"/>
    <mergeCell ref="P10:Q10"/>
    <mergeCell ref="B9:C9"/>
    <mergeCell ref="D9:E9"/>
    <mergeCell ref="F9:H9"/>
    <mergeCell ref="I9:K9"/>
    <mergeCell ref="M9:O9"/>
    <mergeCell ref="P9:Q9"/>
    <mergeCell ref="B8:C8"/>
    <mergeCell ref="D8:E8"/>
    <mergeCell ref="F8:H8"/>
    <mergeCell ref="I8:K8"/>
    <mergeCell ref="M8:O8"/>
    <mergeCell ref="P8:Q8"/>
    <mergeCell ref="B7:C7"/>
    <mergeCell ref="D7:E7"/>
    <mergeCell ref="F7:H7"/>
    <mergeCell ref="I7:K7"/>
    <mergeCell ref="M7:O7"/>
    <mergeCell ref="P7:Q7"/>
    <mergeCell ref="B6:C6"/>
    <mergeCell ref="D6:E6"/>
    <mergeCell ref="F6:H6"/>
    <mergeCell ref="I6:K6"/>
    <mergeCell ref="M6:O6"/>
    <mergeCell ref="P6:Q6"/>
    <mergeCell ref="B5:C5"/>
    <mergeCell ref="D5:E5"/>
    <mergeCell ref="F5:H5"/>
    <mergeCell ref="I5:K5"/>
    <mergeCell ref="M5:O5"/>
    <mergeCell ref="P5:Q5"/>
    <mergeCell ref="A2:C2"/>
    <mergeCell ref="D2:E2"/>
    <mergeCell ref="F2:H2"/>
    <mergeCell ref="I2:L2"/>
    <mergeCell ref="M2:O2"/>
    <mergeCell ref="P2:Q2"/>
    <mergeCell ref="B4:C4"/>
    <mergeCell ref="D4:E4"/>
    <mergeCell ref="F4:H4"/>
    <mergeCell ref="I4:K4"/>
    <mergeCell ref="M4:O4"/>
    <mergeCell ref="P4:Q4"/>
    <mergeCell ref="B3:C3"/>
    <mergeCell ref="D3:E3"/>
    <mergeCell ref="F3:H3"/>
    <mergeCell ref="I3:K3"/>
    <mergeCell ref="M3:O3"/>
    <mergeCell ref="P3:Q3"/>
    <mergeCell ref="A28:Q28"/>
    <mergeCell ref="A29:D29"/>
    <mergeCell ref="E29:H29"/>
    <mergeCell ref="I29:L29"/>
    <mergeCell ref="M29:Q29"/>
    <mergeCell ref="B30:D30"/>
    <mergeCell ref="E30:H30"/>
    <mergeCell ref="I30:K30"/>
    <mergeCell ref="M30:P30"/>
    <mergeCell ref="B34:D34"/>
    <mergeCell ref="E34:H34"/>
    <mergeCell ref="I34:K34"/>
    <mergeCell ref="M34:P34"/>
    <mergeCell ref="B31:D31"/>
    <mergeCell ref="E31:H31"/>
    <mergeCell ref="I31:K31"/>
    <mergeCell ref="M31:P31"/>
    <mergeCell ref="B32:D32"/>
    <mergeCell ref="E32:H32"/>
    <mergeCell ref="I32:K32"/>
    <mergeCell ref="M32:P32"/>
    <mergeCell ref="B33:D33"/>
    <mergeCell ref="E33:H33"/>
    <mergeCell ref="I33:K33"/>
    <mergeCell ref="M33:P33"/>
  </mergeCells>
  <phoneticPr fontId="1"/>
  <conditionalFormatting sqref="B3:C22">
    <cfRule type="expression" dxfId="250" priority="13">
      <formula>$B$3=""</formula>
    </cfRule>
  </conditionalFormatting>
  <conditionalFormatting sqref="D3:E22">
    <cfRule type="expression" dxfId="249" priority="3">
      <formula>$D$3=""</formula>
    </cfRule>
  </conditionalFormatting>
  <conditionalFormatting sqref="F3:H22">
    <cfRule type="expression" dxfId="248" priority="11">
      <formula>$F$3=""</formula>
    </cfRule>
  </conditionalFormatting>
  <conditionalFormatting sqref="I23">
    <cfRule type="expression" dxfId="247" priority="2">
      <formula>$S$134=0</formula>
    </cfRule>
  </conditionalFormatting>
  <conditionalFormatting sqref="I3:K22">
    <cfRule type="expression" dxfId="246" priority="10">
      <formula>$I$3=""</formula>
    </cfRule>
  </conditionalFormatting>
  <conditionalFormatting sqref="M3:O22">
    <cfRule type="expression" dxfId="245" priority="9">
      <formula>$I$3=""</formula>
    </cfRule>
  </conditionalFormatting>
  <conditionalFormatting sqref="M23:O23">
    <cfRule type="expression" dxfId="244" priority="1">
      <formula>$S$127=""</formula>
    </cfRule>
  </conditionalFormatting>
  <conditionalFormatting sqref="P3:Q22">
    <cfRule type="expression" dxfId="243" priority="4">
      <formula>AND(I3&lt;&gt;"",P3="")</formula>
    </cfRule>
  </conditionalFormatting>
  <dataValidations count="4">
    <dataValidation imeMode="off" allowBlank="1" showInputMessage="1" showErrorMessage="1" sqref="I3:K22 N26:O27" xr:uid="{00000000-0002-0000-0300-000000000000}"/>
    <dataValidation type="list" allowBlank="1" showInputMessage="1" showErrorMessage="1" promptTitle="大企業に該当する場合は「該当」を選択してください" prompt="ドロップダウンリストから選択できます ▼" sqref="P3:Q22" xr:uid="{00000000-0002-0000-0300-000001000000}">
      <formula1>$S$26:$S$28</formula1>
    </dataValidation>
    <dataValidation imeMode="on" allowBlank="1" showInputMessage="1" showErrorMessage="1" sqref="Q26:Q27 A26 B3:H22" xr:uid="{00000000-0002-0000-0300-000002000000}"/>
    <dataValidation type="list" allowBlank="1" showInputMessage="1" showErrorMessage="1" sqref="E30:H34" xr:uid="{00000000-0002-0000-0300-000003000000}">
      <formula1>"製造業その他,卸売業,サービス業,小売業"</formula1>
    </dataValidation>
  </dataValidations>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C000"/>
  </sheetPr>
  <dimension ref="B1:BH70"/>
  <sheetViews>
    <sheetView showGridLines="0" showZeros="0" view="pageBreakPreview" zoomScaleNormal="100" zoomScaleSheetLayoutView="100" workbookViewId="0"/>
  </sheetViews>
  <sheetFormatPr defaultColWidth="8.75" defaultRowHeight="18"/>
  <cols>
    <col min="1" max="1" width="0.75" style="645" customWidth="1"/>
    <col min="2" max="2" width="3.75" style="645" customWidth="1"/>
    <col min="3" max="15" width="3" style="645" customWidth="1"/>
    <col min="16" max="16" width="3.25" style="645" customWidth="1"/>
    <col min="17" max="23" width="3" style="645" customWidth="1"/>
    <col min="24" max="27" width="3.08203125" style="645" customWidth="1"/>
    <col min="28" max="28" width="2.75" style="645" customWidth="1"/>
    <col min="29" max="31" width="3.08203125" style="645" customWidth="1"/>
    <col min="32" max="32" width="3" style="645" customWidth="1"/>
    <col min="33" max="34" width="3.08203125" style="645" customWidth="1"/>
    <col min="35" max="36" width="2.75" style="645" customWidth="1"/>
    <col min="37" max="37" width="0.58203125" style="645" customWidth="1"/>
    <col min="38" max="41" width="2.75" style="645" customWidth="1"/>
    <col min="42" max="42" width="0.58203125" style="645" customWidth="1"/>
    <col min="43" max="43" width="3" style="645" customWidth="1"/>
    <col min="44" max="44" width="3.75" style="471" customWidth="1"/>
    <col min="45" max="49" width="7.25" style="471" customWidth="1"/>
    <col min="50" max="50" width="2.58203125" style="471" customWidth="1"/>
    <col min="51" max="51" width="6.25" style="470" customWidth="1"/>
    <col min="52" max="55" width="8.58203125" style="470" customWidth="1"/>
    <col min="56" max="56" width="2.58203125" style="470" customWidth="1"/>
    <col min="57" max="58" width="8.58203125" style="470" customWidth="1"/>
    <col min="59" max="60" width="8.75" style="470"/>
    <col min="61" max="16384" width="8.75" style="645"/>
  </cols>
  <sheetData>
    <row r="1" spans="2:60" ht="6" customHeight="1">
      <c r="AG1" s="1073">
        <f>申請書!Q12</f>
        <v>0</v>
      </c>
      <c r="AH1" s="1073"/>
      <c r="AI1" s="1073"/>
      <c r="AJ1" s="1073"/>
      <c r="AK1" s="1073"/>
      <c r="AL1" s="1073"/>
      <c r="AM1" s="1073"/>
      <c r="AN1" s="1073"/>
      <c r="AO1" s="1073"/>
      <c r="AP1" s="1073"/>
      <c r="AQ1" s="470"/>
    </row>
    <row r="2" spans="2:60" s="42" customFormat="1">
      <c r="B2" s="646" t="s">
        <v>1060</v>
      </c>
      <c r="C2" s="7" t="s">
        <v>242</v>
      </c>
      <c r="D2" s="7"/>
      <c r="E2" s="7"/>
      <c r="F2" s="7"/>
      <c r="G2" s="7"/>
      <c r="H2" s="7"/>
      <c r="I2" s="7"/>
      <c r="J2" s="7"/>
      <c r="K2" s="9"/>
      <c r="L2" s="9"/>
      <c r="M2" s="9"/>
      <c r="N2" s="9"/>
      <c r="O2" s="9"/>
      <c r="P2" s="9"/>
      <c r="Q2" s="9"/>
      <c r="R2" s="9"/>
      <c r="S2" s="9"/>
      <c r="T2" s="9"/>
      <c r="U2" s="9"/>
      <c r="V2" s="9"/>
      <c r="W2" s="9"/>
      <c r="Y2" s="1193" t="s">
        <v>589</v>
      </c>
      <c r="Z2" s="1194"/>
      <c r="AA2" s="1195"/>
      <c r="AB2" s="1192" t="str">
        <f>IF(申請書!B29="○","A1：競争力強化 中小　 助成率1/2以内",
IF(AND(申請書!B30="○",申請書!B56="α"),"A2α：競争力ｾﾞﾛｴﾐ【省ｴﾈ】中小　助成率3/4～1/2以内",
IF(AND(申請書!B30="○",申請書!B56="β"),"A2β：競争力ｾﾞﾛｴﾐ【省ｴﾈ】中小　助成率3/4～2/3以内",
IF(AND(申請書!B31="○",申請書!B56="α"),"A3α：競争力ｾﾞﾛｴﾐ【再ｴﾈ】中小　助成率3/4～1/2以内",
IF(AND(申請書!B31="○",申請書!B56="β"),"A3β：競争力ｾﾞﾛｴﾐ【再ｴﾈ】中小　助成率3/4～2/3以内",
IF(AND(申請書!B32="○",申請書!B56="α"),"A4α：競争力賃上げ 中小　助成率3/4～1/2以内",
IF(AND(申請書!B32="○",申請書!B56="β"),"A4β：競争力賃上げ 中小　助成率3/4以内",
IF(申請書!B33="○","B1：競争力強化 小規模　助成率2/3以内",
IF(AND(申請書!B34="○",申請書!B56="α"),"B2α：競争力ｾﾞﾛｴﾐ【省ｴﾈ】小規模　助成率3/4～2/3以内",
IF(AND(申請書!B34="○",申請書!B56="β"),"B2β：競争力ｾﾞﾛｴﾐ【省ｴﾈ】小規模　助成率3/4～2/3以内",
IF(AND(申請書!B35="○",申請書!B56="α"),"B3α：競争力ｾﾞﾛｴﾐ【再ｴﾈ】小規模　助成率3/4～2/3以内",
IF(AND(申請書!B35="○",申請書!B56="β"),"B3β：競争力ｾﾞﾛｴﾐ【再ｴﾈ】小規模　助成率3/4～2/3以内",
IF(AND(申請書!B36="○",申請書!B56="α"),"B4α：競争力賃上げ 小規模　助成率4/5～2/3以内",
IF(AND(申請書!B36="○",申請書!B56="β"),"B4β：競争力賃上げ 小規模　助成率4/5以内",
IF(申請書!B38="○","C1：ＤＸ推進　助成率2/3以内",
IF(AND(申請書!B39="○",申請書!B56="α"),"C2α：ＤＸｾﾞﾛｴﾐ　助成率3/4～2/3以内",
IF(AND(申請書!B39="○",申請書!B56="β"),"C2β：ＤＸｾﾞﾛｴﾐ　助成率3/4以内",
IF(AND(申請書!B40="○",申請書!B56="α"),"C3α：ＤＸ賃上げ　助成率3/4～2/3以内",
IF(AND(申請書!B40="○",申請書!B56="β"),"C3β：ＤＸ賃上げ　助成率3/4以内",
IF(申請書!B43="○","D1：イノベーション　助成率2/3以内",
IF(AND(申請書!B44="○",申請書!B56="α"),"D2α：イノベｾﾞﾛｴﾐ　助成率3/4～2/3以内",
IF(AND(申請書!B44="○",申請書!B56="β"),"D2β：イノベｾﾞﾛｴﾐ　助成率3/4以内",
IF(AND(申請書!B45="○",申請書!B56="α"),"D3α：イノベ賃上げ　助成率3/4～2/3以内",
IF(AND(申請書!B45="○",申請書!B56="β"),"D3β：イノベ賃上げ　助成率3/4以内",
IF(申請書!B46="○","E1：後継者チャレンジ　助成率2/3以内",
IF(AND(申請書!B47="○",申請書!B56="α"),"E2α：後継者ｾﾞﾛｴﾐ　助成率3/4～2/3以内",
IF(AND(申請書!B47="○",申請書!B56="β"),"E2β：後継者ｾﾞﾛｴﾐ　助成率3/4以内",
IF(AND(申請書!B48="○",申請書!B56="α"),"E3α：後継者賃上げ　助成率3/4～2/3以内",
IF(AND(申請書!B48="○",申請書!B56="β"),"E3β：後継者賃上げ　助成率3/4以内",
IF(申請書!B49="○","F1:アップグレード促進　助成率3/4以内",
IF(申請書!B37="○","W1：働き方改革推進　　助成率4/5以内",
"")))))))))))))))))))))))))))))))</f>
        <v/>
      </c>
      <c r="AC2" s="738"/>
      <c r="AD2" s="738"/>
      <c r="AE2" s="738"/>
      <c r="AF2" s="738"/>
      <c r="AG2" s="738"/>
      <c r="AH2" s="738"/>
      <c r="AI2" s="738"/>
      <c r="AJ2" s="738"/>
      <c r="AK2" s="738"/>
      <c r="AL2" s="738"/>
      <c r="AM2" s="738"/>
      <c r="AN2" s="738"/>
      <c r="AO2" s="739"/>
      <c r="AP2" s="9"/>
      <c r="AQ2" s="473"/>
      <c r="AR2" s="473"/>
      <c r="AS2" s="473"/>
      <c r="AT2" s="473"/>
      <c r="AU2" s="473"/>
      <c r="AV2" s="473"/>
      <c r="AW2" s="473"/>
      <c r="AX2" s="473"/>
      <c r="AY2" s="473"/>
      <c r="AZ2" s="473"/>
      <c r="BA2" s="473"/>
      <c r="BB2" s="473"/>
      <c r="BC2" s="473"/>
      <c r="BD2" s="473"/>
      <c r="BE2" s="473"/>
      <c r="BF2" s="473"/>
      <c r="BG2" s="473"/>
      <c r="BH2" s="473"/>
    </row>
    <row r="3" spans="2:60" ht="17.25" customHeight="1">
      <c r="B3" s="39" t="s">
        <v>490</v>
      </c>
      <c r="C3" s="644"/>
      <c r="D3" s="644"/>
      <c r="E3" s="644"/>
      <c r="F3" s="644"/>
      <c r="G3" s="644"/>
      <c r="H3" s="644"/>
      <c r="I3" s="644"/>
      <c r="J3" s="644"/>
      <c r="K3" s="644"/>
      <c r="L3" s="644"/>
      <c r="M3" s="644"/>
      <c r="N3" s="644"/>
      <c r="O3" s="644"/>
      <c r="P3" s="644"/>
      <c r="Q3" s="644"/>
      <c r="R3" s="644"/>
      <c r="S3" s="644"/>
      <c r="T3" s="644"/>
      <c r="U3" s="644"/>
      <c r="V3" s="644"/>
      <c r="W3" s="644"/>
      <c r="X3" s="644"/>
      <c r="Y3" s="4"/>
      <c r="Z3" s="323"/>
      <c r="AA3" s="323"/>
      <c r="AB3" s="323"/>
      <c r="AC3" s="323"/>
      <c r="AD3" s="323"/>
      <c r="AE3" s="1196" t="str">
        <f>IF(AND(申請書!B29="○",資金計画!M4="A1：競争力強化 中小　 助成率1/2以内"),"申請者区分一致ok",IF(AND(申請書!B30="○",資金計画!M4="A2α：競争力ｾﾞﾛｴﾐ【省ｴﾈ】中小　助成率3/4～1/2以内"),"申請者区分一致ok",IF(AND(申請書!B30="○",資金計画!M4="A2β：競争力ｾﾞﾛｴﾐ【省ｴﾈ】中小　助成率3/4～2/3以内"),"申請者区分一致ok",IF(AND(申請書!B31="○",資金計画!M4="A3α：競争力ｾﾞﾛｴﾐ【再ｴﾈ】中小　助成率3/4～1/2以内"),"申請者区分一致ok",IF(AND(申請書!B31="○",資金計画!M4="A3β：競争力ｾﾞﾛｴﾐ【再ｴﾈ】中小　助成率3/4～2/3以内"),"申請者区分一致ok",IF(AND(申請書!B32="○",資金計画!M4="A4α：競争力賃上げ 中小　助成率3/4～1/2以内"),"申請者区分一致ok",IF(AND(申請書!B32="○",資金計画!M4="A4β：競争力賃上げ 中小　助成率3/4以内"),"申請者区分一致ok",IF(AND(申請書!B33="○",資金計画!M4="B1：競争力強化 小規模　助成率2/3以内"),"申請者区分一致ok",IF(AND(申請書!B34="○",資金計画!M4="B2α：競争力ｾﾞﾛｴﾐ【省ｴﾈ】小規模　助成率3/4～2/3以内"),"申請者区分一致ok",IF(AND(申請書!B34="○",資金計画!M4="B2β：競争力ｾﾞﾛｴﾐ【省ｴﾈ】小規模　助成率3/4～2/3以内"),"申請者区分一致ok",IF(AND(申請書!B35="○",資金計画!M4="B3α：競争力ｾﾞﾛｴﾐ【再ｴﾈ】小規模　助成率3/4～2/3以内"),"申請者区分一致ok",IF(AND(申請書!B35="○",資金計画!M4="B3β：競争力ｾﾞﾛｴﾐ【再ｴﾈ】小規模　助成率3/4～2/3以内"),"申請者区分一致ok",IF(AND(申請書!B36="○",資金計画!M4="B4α：競争力賃上げ 小規模　助成率3/4～2/3以内"),"申請者区分一致ok",IF(AND(申請書!B36="○",資金計画!M4="B4β：競争力賃上げ 小規模　助成率3/4以内"),"申請者区分一致ok",IF(AND(申請書!B38="○",資金計画!M4="C1：ＤＸ推進　助成率2/3以内"),"申請者区分一致ok",IF(AND(申請書!B39="○",資金計画!M4="C2α：ＤＸｾﾞﾛｴﾐ　助成率3/4～2/3以内"),"申請者区分一致ok",IF(AND(申請書!B39="○",資金計画!M4="C2β：ＤＸｾﾞﾛｴﾐ　助成率3/4以内"),"申請者区分一致ok",IF(AND(申請書!B40="○",資金計画!M4="C3α：ＤＸ賃上げ　助成率3/4～2/3以内"),"申請者区分一致ok",IF(AND(申請書!B40="○",資金計画!M4="C3β：ＤＸ賃上げ　助成率3/4以内"),"申請者区分一致ok",IF(AND(申請書!B43="○",資金計画!M4="D1：イノベーション　助成率2/3以内"),"申請者区分一致ok",IF(AND(申請書!B44="○",資金計画!M4="D2α：イノベｾﾞﾛｴﾐ　助成率3/4～2/3以内"),"申請者区分一致ok",IF(AND(申請書!B44="○",資金計画!M4="D2β：イノベｾﾞﾛｴﾐ　助成率3/4以内"),"申請者区分一致ok",IF(AND(申請書!B45="○",資金計画!M4="D3α：イノベ賃上げ　助成率3/4～2/3以内"),"申請者区分一致ok",IF(AND(申請書!B45="○",資金計画!M4="D3β：イノベ賃上げ　助成率3/4以内"),"申請者区分一致ok",IF(AND(申請書!B46="○",資金計画!M4="E1：後継者チャレンジ　助成率2/3以内"),"申請者区分一致ok",IF(AND(申請書!B47="○",資金計画!M4="E2α：後継者ｾﾞﾛｴﾐ　助成率3/4～2/3以内"),"申請者区分一致ok",IF(AND(申請書!B47="○",資金計画!M4="E2β：後継者ｾﾞﾛｴﾐ　助成率3/4以内"),"申請者区分一致ok",IF(AND(申請書!B48="○",資金計画!M4="E3α：後継者賃上げ　助成率3/4～2/3以内"),"申請者区分一致ok",IF(AND(申請書!B48="○",資金計画!M4="E3β：後継者賃上げ　助成率3/4以内"),"申請者区分一致ok","")))))))))))))))))))))))))))))</f>
        <v/>
      </c>
      <c r="AF3" s="1197"/>
      <c r="AG3" s="1197"/>
      <c r="AH3" s="1197"/>
      <c r="AI3" s="1197"/>
      <c r="AJ3" s="1197"/>
      <c r="AK3" s="354"/>
      <c r="AL3" s="354"/>
      <c r="AM3" s="354"/>
      <c r="AN3" s="354"/>
      <c r="AO3" s="354"/>
      <c r="AP3" s="644"/>
      <c r="AQ3" s="470"/>
      <c r="AS3" s="471" t="s">
        <v>584</v>
      </c>
    </row>
    <row r="4" spans="2:60" ht="10.5" customHeight="1">
      <c r="B4" s="340"/>
      <c r="D4" s="341" t="s">
        <v>578</v>
      </c>
      <c r="E4" s="342" t="s">
        <v>581</v>
      </c>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644"/>
      <c r="AQ4" s="470"/>
    </row>
    <row r="5" spans="2:60" s="38" customFormat="1" ht="35.65" customHeight="1">
      <c r="B5" s="647" t="s">
        <v>145</v>
      </c>
      <c r="C5" s="1103" t="s">
        <v>146</v>
      </c>
      <c r="D5" s="1103"/>
      <c r="E5" s="1103"/>
      <c r="F5" s="1103"/>
      <c r="G5" s="1103"/>
      <c r="H5" s="1103" t="s">
        <v>147</v>
      </c>
      <c r="I5" s="1103"/>
      <c r="J5" s="1103"/>
      <c r="K5" s="1103"/>
      <c r="L5" s="1103" t="s">
        <v>151</v>
      </c>
      <c r="M5" s="1103"/>
      <c r="N5" s="1103"/>
      <c r="O5" s="1103"/>
      <c r="P5" s="1103" t="s">
        <v>159</v>
      </c>
      <c r="Q5" s="1103"/>
      <c r="R5" s="1103"/>
      <c r="S5" s="1103"/>
      <c r="T5" s="1103" t="s">
        <v>148</v>
      </c>
      <c r="U5" s="1103"/>
      <c r="V5" s="1103"/>
      <c r="W5" s="1103" t="s">
        <v>419</v>
      </c>
      <c r="X5" s="1103"/>
      <c r="Y5" s="1103"/>
      <c r="Z5" s="1103"/>
      <c r="AA5" s="1103" t="s">
        <v>149</v>
      </c>
      <c r="AB5" s="1103"/>
      <c r="AC5" s="1157" t="s">
        <v>436</v>
      </c>
      <c r="AD5" s="1157"/>
      <c r="AE5" s="1157"/>
      <c r="AF5" s="1157"/>
      <c r="AG5" s="1103" t="s">
        <v>116</v>
      </c>
      <c r="AH5" s="1103"/>
      <c r="AI5" s="1103"/>
      <c r="AJ5" s="1103"/>
      <c r="AK5" s="1103"/>
      <c r="AL5" s="1103" t="s">
        <v>150</v>
      </c>
      <c r="AM5" s="1103"/>
      <c r="AN5" s="1103"/>
      <c r="AO5" s="1103"/>
      <c r="AP5" s="108"/>
      <c r="AQ5" s="475"/>
      <c r="AR5" s="474"/>
      <c r="AS5" s="651" t="s">
        <v>486</v>
      </c>
      <c r="AT5" s="652" t="s">
        <v>488</v>
      </c>
      <c r="AU5" s="652" t="s">
        <v>489</v>
      </c>
      <c r="AV5" s="652" t="s">
        <v>1202</v>
      </c>
      <c r="AW5" s="652" t="s">
        <v>1203</v>
      </c>
      <c r="AX5" s="653"/>
      <c r="AY5" s="654" t="s">
        <v>582</v>
      </c>
      <c r="AZ5" s="652" t="s">
        <v>488</v>
      </c>
      <c r="BA5" s="652" t="s">
        <v>489</v>
      </c>
      <c r="BB5" s="652" t="s">
        <v>1202</v>
      </c>
      <c r="BC5" s="652" t="s">
        <v>1203</v>
      </c>
      <c r="BD5" s="475"/>
      <c r="BE5" s="655" t="s">
        <v>1182</v>
      </c>
      <c r="BF5" s="655" t="s">
        <v>1201</v>
      </c>
      <c r="BG5" s="475"/>
      <c r="BH5" s="475"/>
    </row>
    <row r="6" spans="2:60" ht="33" customHeight="1">
      <c r="B6" s="647">
        <v>1</v>
      </c>
      <c r="C6" s="1099"/>
      <c r="D6" s="1099"/>
      <c r="E6" s="1099"/>
      <c r="F6" s="1099"/>
      <c r="G6" s="1099"/>
      <c r="H6" s="1116"/>
      <c r="I6" s="1099"/>
      <c r="J6" s="1099"/>
      <c r="K6" s="1099"/>
      <c r="L6" s="1099"/>
      <c r="M6" s="1099"/>
      <c r="N6" s="1099"/>
      <c r="O6" s="1099"/>
      <c r="P6" s="1106"/>
      <c r="Q6" s="1106"/>
      <c r="R6" s="1106"/>
      <c r="S6" s="1106"/>
      <c r="T6" s="1104"/>
      <c r="U6" s="1105"/>
      <c r="V6" s="648" t="s">
        <v>4</v>
      </c>
      <c r="W6" s="1100"/>
      <c r="X6" s="1100"/>
      <c r="Y6" s="1100"/>
      <c r="Z6" s="1100"/>
      <c r="AA6" s="1117"/>
      <c r="AB6" s="1117"/>
      <c r="AC6" s="1118">
        <f t="shared" ref="AC6" si="0">W6*AA6</f>
        <v>0</v>
      </c>
      <c r="AD6" s="1118"/>
      <c r="AE6" s="1118"/>
      <c r="AF6" s="1118"/>
      <c r="AG6" s="1099"/>
      <c r="AH6" s="1099"/>
      <c r="AI6" s="1099"/>
      <c r="AJ6" s="1099"/>
      <c r="AK6" s="1099"/>
      <c r="AL6" s="1119"/>
      <c r="AM6" s="1119"/>
      <c r="AN6" s="1119"/>
      <c r="AO6" s="1119"/>
      <c r="AP6" s="644"/>
      <c r="AQ6" s="470"/>
      <c r="AR6" s="476"/>
      <c r="AS6" s="656"/>
      <c r="AT6" s="657" t="str">
        <f>IF(P6="機械装置",AA6,"0")</f>
        <v>0</v>
      </c>
      <c r="AU6" s="657" t="str">
        <f>IF(P6="器具備品",AA6,"0")</f>
        <v>0</v>
      </c>
      <c r="AV6" s="657" t="str">
        <f>IF(P6="ソフトウェアＡ",AA6,"0")</f>
        <v>0</v>
      </c>
      <c r="AW6" s="657" t="str">
        <f>IF(P6="ソフトウェアＢ",AA6,"0")</f>
        <v>0</v>
      </c>
      <c r="AX6" s="658"/>
      <c r="AY6" s="659"/>
      <c r="AZ6" s="660">
        <f>W6*AT6</f>
        <v>0</v>
      </c>
      <c r="BA6" s="660">
        <f>W6*AU6</f>
        <v>0</v>
      </c>
      <c r="BB6" s="661">
        <f>W6*AV6</f>
        <v>0</v>
      </c>
      <c r="BC6" s="660">
        <f>W6*AW6</f>
        <v>0</v>
      </c>
      <c r="BE6" s="662" t="str">
        <f>IF($BE$16="要申請者区分選択","要申請者区分選択",
IF(AND(P6="ソフトウェアＡ",$BE$16="助成率1/2"),W6*1/2,
IF(AND(P6="ソフトウェアＡ",$BE$16="助成率2/3"),W6*2/3,
IF(AND(P6="ソフトウェアＡ",$BE$16="助成率2/3３千万"),W6*2/3,
IF(AND(P6="ソフトウェアＡ",$BE$16="助成率3/4"),W6*3/4,
IF(AND(P6="ソフトウェアＡ",$BE$16="助成率4/5"),W6*4/5,
IF(AND(P6="ソフトウェアＡ",$BE$16="助成率3/4２億"),W6*3/4,"-")))))))</f>
        <v>要申請者区分選択</v>
      </c>
      <c r="BF6" s="662" t="str">
        <f>IF(AND(P6="ソフトウェアＡ",W6&lt;&gt;""),IF(BE6&gt;=3000000,W6*AV6,"ｿﾌﾄｳｪｱ申請額下限額未満"),"-")</f>
        <v>-</v>
      </c>
    </row>
    <row r="7" spans="2:60" ht="33" customHeight="1">
      <c r="B7" s="647">
        <v>2</v>
      </c>
      <c r="C7" s="1099"/>
      <c r="D7" s="1099"/>
      <c r="E7" s="1099"/>
      <c r="F7" s="1099"/>
      <c r="G7" s="1099"/>
      <c r="H7" s="1116"/>
      <c r="I7" s="1099"/>
      <c r="J7" s="1099"/>
      <c r="K7" s="1099"/>
      <c r="L7" s="1099"/>
      <c r="M7" s="1099"/>
      <c r="N7" s="1099"/>
      <c r="O7" s="1099"/>
      <c r="P7" s="1106"/>
      <c r="Q7" s="1106"/>
      <c r="R7" s="1106"/>
      <c r="S7" s="1106"/>
      <c r="T7" s="1104"/>
      <c r="U7" s="1105"/>
      <c r="V7" s="648" t="s">
        <v>4</v>
      </c>
      <c r="W7" s="1100"/>
      <c r="X7" s="1100"/>
      <c r="Y7" s="1100"/>
      <c r="Z7" s="1100"/>
      <c r="AA7" s="1117"/>
      <c r="AB7" s="1117"/>
      <c r="AC7" s="1118">
        <f t="shared" ref="AC7:AC13" si="1">W7*AA7</f>
        <v>0</v>
      </c>
      <c r="AD7" s="1118"/>
      <c r="AE7" s="1118"/>
      <c r="AF7" s="1118"/>
      <c r="AG7" s="1099"/>
      <c r="AH7" s="1099"/>
      <c r="AI7" s="1099"/>
      <c r="AJ7" s="1099"/>
      <c r="AK7" s="1099"/>
      <c r="AL7" s="1119"/>
      <c r="AM7" s="1119"/>
      <c r="AN7" s="1119"/>
      <c r="AO7" s="1119"/>
      <c r="AP7" s="644"/>
      <c r="AQ7" s="470"/>
      <c r="AS7" s="663"/>
      <c r="AT7" s="657" t="str">
        <f t="shared" ref="AT7:AT13" si="2">IF(P7="機械装置",AA7,"0")</f>
        <v>0</v>
      </c>
      <c r="AU7" s="657" t="str">
        <f t="shared" ref="AU7:AU13" si="3">IF(P7="器具備品",AA7,"0")</f>
        <v>0</v>
      </c>
      <c r="AV7" s="657" t="str">
        <f t="shared" ref="AV7:AV13" si="4">IF(P7="ソフトウェアＡ",AA7,"0")</f>
        <v>0</v>
      </c>
      <c r="AW7" s="657" t="str">
        <f t="shared" ref="AW7:AW13" si="5">IF(P7="ソフトウェアＢ",AA7,"0")</f>
        <v>0</v>
      </c>
      <c r="AX7" s="658"/>
      <c r="AY7" s="659"/>
      <c r="AZ7" s="660">
        <f t="shared" ref="AZ7:AZ13" si="6">W7*AT7</f>
        <v>0</v>
      </c>
      <c r="BA7" s="660">
        <f t="shared" ref="BA7:BA13" si="7">W7*AU7</f>
        <v>0</v>
      </c>
      <c r="BB7" s="661">
        <f t="shared" ref="BB7:BB13" si="8">W7*AV7</f>
        <v>0</v>
      </c>
      <c r="BC7" s="660">
        <f t="shared" ref="BC7:BC13" si="9">W7*AW7</f>
        <v>0</v>
      </c>
      <c r="BE7" s="662" t="str">
        <f t="shared" ref="BE7:BE13" si="10">IF($BE$16="要申請者区分選択","要申請者区分選択",
IF(AND(P7="ソフトウェアＡ",$BE$16="助成率1/2"),W7*1/2,
IF(AND(P7="ソフトウェアＡ",$BE$16="助成率2/3"),W7*2/3,
IF(AND(P7="ソフトウェアＡ",$BE$16="助成率2/3３千万"),W7*2/3,
IF(AND(P7="ソフトウェアＡ",$BE$16="助成率3/4"),W7*3/4,
IF(AND(P7="ソフトウェアＡ",$BE$16="助成率4/5"),W7*4/5,
IF(AND(P7="ソフトウェアＡ",$BE$16="助成率3/4２億"),W7*3/4,"-")))))))</f>
        <v>要申請者区分選択</v>
      </c>
      <c r="BF7" s="662" t="str">
        <f t="shared" ref="BF7:BF13" si="11">IF(AND(P7="ソフトウェアＡ",W7&lt;&gt;""),IF(BE7&gt;=3000000,W7*AV7,"ｿﾌﾄｳｪｱ申請額下限額未満"),"-")</f>
        <v>-</v>
      </c>
    </row>
    <row r="8" spans="2:60" ht="33" customHeight="1">
      <c r="B8" s="647">
        <v>3</v>
      </c>
      <c r="C8" s="1099"/>
      <c r="D8" s="1099"/>
      <c r="E8" s="1099"/>
      <c r="F8" s="1099"/>
      <c r="G8" s="1099"/>
      <c r="H8" s="1116"/>
      <c r="I8" s="1099"/>
      <c r="J8" s="1099"/>
      <c r="K8" s="1099"/>
      <c r="L8" s="1099"/>
      <c r="M8" s="1099"/>
      <c r="N8" s="1099"/>
      <c r="O8" s="1099"/>
      <c r="P8" s="1106"/>
      <c r="Q8" s="1106"/>
      <c r="R8" s="1106"/>
      <c r="S8" s="1106"/>
      <c r="T8" s="1104"/>
      <c r="U8" s="1105"/>
      <c r="V8" s="648" t="s">
        <v>4</v>
      </c>
      <c r="W8" s="1100"/>
      <c r="X8" s="1100"/>
      <c r="Y8" s="1100"/>
      <c r="Z8" s="1100"/>
      <c r="AA8" s="1117"/>
      <c r="AB8" s="1117"/>
      <c r="AC8" s="1118">
        <f t="shared" si="1"/>
        <v>0</v>
      </c>
      <c r="AD8" s="1118"/>
      <c r="AE8" s="1118"/>
      <c r="AF8" s="1118"/>
      <c r="AG8" s="1099"/>
      <c r="AH8" s="1099"/>
      <c r="AI8" s="1099"/>
      <c r="AJ8" s="1099"/>
      <c r="AK8" s="1099"/>
      <c r="AL8" s="1119"/>
      <c r="AM8" s="1119"/>
      <c r="AN8" s="1119"/>
      <c r="AO8" s="1119"/>
      <c r="AP8" s="644"/>
      <c r="AQ8" s="470"/>
      <c r="AS8" s="663"/>
      <c r="AT8" s="657" t="str">
        <f t="shared" si="2"/>
        <v>0</v>
      </c>
      <c r="AU8" s="657" t="str">
        <f t="shared" si="3"/>
        <v>0</v>
      </c>
      <c r="AV8" s="657" t="str">
        <f t="shared" si="4"/>
        <v>0</v>
      </c>
      <c r="AW8" s="657" t="str">
        <f t="shared" si="5"/>
        <v>0</v>
      </c>
      <c r="AX8" s="658"/>
      <c r="AY8" s="659"/>
      <c r="AZ8" s="660">
        <f t="shared" si="6"/>
        <v>0</v>
      </c>
      <c r="BA8" s="660">
        <f t="shared" si="7"/>
        <v>0</v>
      </c>
      <c r="BB8" s="661">
        <f t="shared" si="8"/>
        <v>0</v>
      </c>
      <c r="BC8" s="660">
        <f t="shared" si="9"/>
        <v>0</v>
      </c>
      <c r="BE8" s="662" t="str">
        <f t="shared" si="10"/>
        <v>要申請者区分選択</v>
      </c>
      <c r="BF8" s="662" t="str">
        <f t="shared" si="11"/>
        <v>-</v>
      </c>
    </row>
    <row r="9" spans="2:60" ht="33" customHeight="1">
      <c r="B9" s="647">
        <v>4</v>
      </c>
      <c r="C9" s="1099"/>
      <c r="D9" s="1099"/>
      <c r="E9" s="1099"/>
      <c r="F9" s="1099"/>
      <c r="G9" s="1099"/>
      <c r="H9" s="1116"/>
      <c r="I9" s="1099"/>
      <c r="J9" s="1099"/>
      <c r="K9" s="1099"/>
      <c r="L9" s="1099"/>
      <c r="M9" s="1099"/>
      <c r="N9" s="1099"/>
      <c r="O9" s="1099"/>
      <c r="P9" s="1106"/>
      <c r="Q9" s="1106"/>
      <c r="R9" s="1106"/>
      <c r="S9" s="1106"/>
      <c r="T9" s="1104"/>
      <c r="U9" s="1105"/>
      <c r="V9" s="648" t="s">
        <v>4</v>
      </c>
      <c r="W9" s="1100"/>
      <c r="X9" s="1100"/>
      <c r="Y9" s="1100"/>
      <c r="Z9" s="1100"/>
      <c r="AA9" s="1117"/>
      <c r="AB9" s="1117"/>
      <c r="AC9" s="1118">
        <f t="shared" si="1"/>
        <v>0</v>
      </c>
      <c r="AD9" s="1118"/>
      <c r="AE9" s="1118"/>
      <c r="AF9" s="1118"/>
      <c r="AG9" s="1099"/>
      <c r="AH9" s="1099"/>
      <c r="AI9" s="1099"/>
      <c r="AJ9" s="1099"/>
      <c r="AK9" s="1099"/>
      <c r="AL9" s="1119"/>
      <c r="AM9" s="1119"/>
      <c r="AN9" s="1119"/>
      <c r="AO9" s="1119"/>
      <c r="AP9" s="644"/>
      <c r="AQ9" s="470"/>
      <c r="AS9" s="663"/>
      <c r="AT9" s="657" t="str">
        <f t="shared" si="2"/>
        <v>0</v>
      </c>
      <c r="AU9" s="657" t="str">
        <f t="shared" si="3"/>
        <v>0</v>
      </c>
      <c r="AV9" s="657" t="str">
        <f t="shared" si="4"/>
        <v>0</v>
      </c>
      <c r="AW9" s="657" t="str">
        <f t="shared" si="5"/>
        <v>0</v>
      </c>
      <c r="AX9" s="658"/>
      <c r="AY9" s="659"/>
      <c r="AZ9" s="660">
        <f t="shared" si="6"/>
        <v>0</v>
      </c>
      <c r="BA9" s="660">
        <f t="shared" si="7"/>
        <v>0</v>
      </c>
      <c r="BB9" s="661">
        <f t="shared" si="8"/>
        <v>0</v>
      </c>
      <c r="BC9" s="660">
        <f t="shared" si="9"/>
        <v>0</v>
      </c>
      <c r="BE9" s="662" t="str">
        <f t="shared" si="10"/>
        <v>要申請者区分選択</v>
      </c>
      <c r="BF9" s="662" t="str">
        <f t="shared" si="11"/>
        <v>-</v>
      </c>
    </row>
    <row r="10" spans="2:60" ht="33" customHeight="1">
      <c r="B10" s="647">
        <v>5</v>
      </c>
      <c r="C10" s="1099"/>
      <c r="D10" s="1099"/>
      <c r="E10" s="1099"/>
      <c r="F10" s="1099"/>
      <c r="G10" s="1099"/>
      <c r="H10" s="1116"/>
      <c r="I10" s="1099"/>
      <c r="J10" s="1099"/>
      <c r="K10" s="1099"/>
      <c r="L10" s="1099"/>
      <c r="M10" s="1099"/>
      <c r="N10" s="1099"/>
      <c r="O10" s="1099"/>
      <c r="P10" s="1106"/>
      <c r="Q10" s="1106"/>
      <c r="R10" s="1106"/>
      <c r="S10" s="1106"/>
      <c r="T10" s="1104"/>
      <c r="U10" s="1105"/>
      <c r="V10" s="648" t="s">
        <v>4</v>
      </c>
      <c r="W10" s="1100"/>
      <c r="X10" s="1100"/>
      <c r="Y10" s="1100"/>
      <c r="Z10" s="1100"/>
      <c r="AA10" s="1117"/>
      <c r="AB10" s="1117"/>
      <c r="AC10" s="1118">
        <f t="shared" si="1"/>
        <v>0</v>
      </c>
      <c r="AD10" s="1118"/>
      <c r="AE10" s="1118"/>
      <c r="AF10" s="1118"/>
      <c r="AG10" s="1099"/>
      <c r="AH10" s="1099"/>
      <c r="AI10" s="1099"/>
      <c r="AJ10" s="1099"/>
      <c r="AK10" s="1099"/>
      <c r="AL10" s="1119"/>
      <c r="AM10" s="1119"/>
      <c r="AN10" s="1119"/>
      <c r="AO10" s="1119"/>
      <c r="AP10" s="644"/>
      <c r="AQ10" s="470"/>
      <c r="AS10" s="663"/>
      <c r="AT10" s="657" t="str">
        <f t="shared" si="2"/>
        <v>0</v>
      </c>
      <c r="AU10" s="657" t="str">
        <f t="shared" si="3"/>
        <v>0</v>
      </c>
      <c r="AV10" s="657" t="str">
        <f t="shared" si="4"/>
        <v>0</v>
      </c>
      <c r="AW10" s="657" t="str">
        <f t="shared" si="5"/>
        <v>0</v>
      </c>
      <c r="AX10" s="658"/>
      <c r="AY10" s="659"/>
      <c r="AZ10" s="660">
        <f t="shared" si="6"/>
        <v>0</v>
      </c>
      <c r="BA10" s="660">
        <f t="shared" si="7"/>
        <v>0</v>
      </c>
      <c r="BB10" s="661">
        <f t="shared" si="8"/>
        <v>0</v>
      </c>
      <c r="BC10" s="660">
        <f t="shared" si="9"/>
        <v>0</v>
      </c>
      <c r="BE10" s="662" t="str">
        <f t="shared" si="10"/>
        <v>要申請者区分選択</v>
      </c>
      <c r="BF10" s="662" t="str">
        <f t="shared" si="11"/>
        <v>-</v>
      </c>
    </row>
    <row r="11" spans="2:60" ht="33" customHeight="1">
      <c r="B11" s="647">
        <v>6</v>
      </c>
      <c r="C11" s="1099"/>
      <c r="D11" s="1099"/>
      <c r="E11" s="1099"/>
      <c r="F11" s="1099"/>
      <c r="G11" s="1099"/>
      <c r="H11" s="1116"/>
      <c r="I11" s="1099"/>
      <c r="J11" s="1099"/>
      <c r="K11" s="1099"/>
      <c r="L11" s="1099"/>
      <c r="M11" s="1099"/>
      <c r="N11" s="1099"/>
      <c r="O11" s="1099"/>
      <c r="P11" s="1106"/>
      <c r="Q11" s="1106"/>
      <c r="R11" s="1106"/>
      <c r="S11" s="1106"/>
      <c r="T11" s="1104"/>
      <c r="U11" s="1105"/>
      <c r="V11" s="648" t="s">
        <v>4</v>
      </c>
      <c r="W11" s="1100"/>
      <c r="X11" s="1100"/>
      <c r="Y11" s="1100"/>
      <c r="Z11" s="1100"/>
      <c r="AA11" s="1117"/>
      <c r="AB11" s="1117"/>
      <c r="AC11" s="1118">
        <f t="shared" si="1"/>
        <v>0</v>
      </c>
      <c r="AD11" s="1118"/>
      <c r="AE11" s="1118"/>
      <c r="AF11" s="1118"/>
      <c r="AG11" s="1099"/>
      <c r="AH11" s="1099"/>
      <c r="AI11" s="1099"/>
      <c r="AJ11" s="1099"/>
      <c r="AK11" s="1099"/>
      <c r="AL11" s="1119"/>
      <c r="AM11" s="1119"/>
      <c r="AN11" s="1119"/>
      <c r="AO11" s="1119"/>
      <c r="AP11" s="644"/>
      <c r="AQ11" s="470"/>
      <c r="AS11" s="663"/>
      <c r="AT11" s="657" t="str">
        <f t="shared" si="2"/>
        <v>0</v>
      </c>
      <c r="AU11" s="657" t="str">
        <f t="shared" si="3"/>
        <v>0</v>
      </c>
      <c r="AV11" s="657" t="str">
        <f t="shared" si="4"/>
        <v>0</v>
      </c>
      <c r="AW11" s="657" t="str">
        <f t="shared" si="5"/>
        <v>0</v>
      </c>
      <c r="AX11" s="658"/>
      <c r="AY11" s="659"/>
      <c r="AZ11" s="660">
        <f t="shared" si="6"/>
        <v>0</v>
      </c>
      <c r="BA11" s="660">
        <f t="shared" si="7"/>
        <v>0</v>
      </c>
      <c r="BB11" s="661">
        <f t="shared" si="8"/>
        <v>0</v>
      </c>
      <c r="BC11" s="660">
        <f t="shared" si="9"/>
        <v>0</v>
      </c>
      <c r="BE11" s="662" t="str">
        <f t="shared" si="10"/>
        <v>要申請者区分選択</v>
      </c>
      <c r="BF11" s="662" t="str">
        <f t="shared" si="11"/>
        <v>-</v>
      </c>
    </row>
    <row r="12" spans="2:60" ht="33" customHeight="1">
      <c r="B12" s="647">
        <v>7</v>
      </c>
      <c r="C12" s="1099"/>
      <c r="D12" s="1099"/>
      <c r="E12" s="1099"/>
      <c r="F12" s="1099"/>
      <c r="G12" s="1099"/>
      <c r="H12" s="1116"/>
      <c r="I12" s="1099"/>
      <c r="J12" s="1099"/>
      <c r="K12" s="1099"/>
      <c r="L12" s="1099"/>
      <c r="M12" s="1099"/>
      <c r="N12" s="1099"/>
      <c r="O12" s="1099"/>
      <c r="P12" s="1106"/>
      <c r="Q12" s="1106"/>
      <c r="R12" s="1106"/>
      <c r="S12" s="1106"/>
      <c r="T12" s="1019"/>
      <c r="U12" s="1163"/>
      <c r="V12" s="648" t="s">
        <v>4</v>
      </c>
      <c r="W12" s="1100"/>
      <c r="X12" s="1100"/>
      <c r="Y12" s="1100"/>
      <c r="Z12" s="1100"/>
      <c r="AA12" s="1117"/>
      <c r="AB12" s="1117"/>
      <c r="AC12" s="1118">
        <f t="shared" si="1"/>
        <v>0</v>
      </c>
      <c r="AD12" s="1118"/>
      <c r="AE12" s="1118"/>
      <c r="AF12" s="1118"/>
      <c r="AG12" s="1171"/>
      <c r="AH12" s="1188"/>
      <c r="AI12" s="1188"/>
      <c r="AJ12" s="1188"/>
      <c r="AK12" s="1189"/>
      <c r="AL12" s="1158"/>
      <c r="AM12" s="1159"/>
      <c r="AN12" s="1159"/>
      <c r="AO12" s="1160"/>
      <c r="AP12" s="644"/>
      <c r="AQ12" s="470"/>
      <c r="AS12" s="663"/>
      <c r="AT12" s="657" t="str">
        <f t="shared" si="2"/>
        <v>0</v>
      </c>
      <c r="AU12" s="657" t="str">
        <f t="shared" si="3"/>
        <v>0</v>
      </c>
      <c r="AV12" s="657" t="str">
        <f t="shared" si="4"/>
        <v>0</v>
      </c>
      <c r="AW12" s="657" t="str">
        <f t="shared" si="5"/>
        <v>0</v>
      </c>
      <c r="AX12" s="658"/>
      <c r="AY12" s="659"/>
      <c r="AZ12" s="660">
        <f t="shared" si="6"/>
        <v>0</v>
      </c>
      <c r="BA12" s="660">
        <f t="shared" si="7"/>
        <v>0</v>
      </c>
      <c r="BB12" s="661">
        <f t="shared" si="8"/>
        <v>0</v>
      </c>
      <c r="BC12" s="660">
        <f t="shared" si="9"/>
        <v>0</v>
      </c>
      <c r="BE12" s="662" t="str">
        <f t="shared" si="10"/>
        <v>要申請者区分選択</v>
      </c>
      <c r="BF12" s="662" t="str">
        <f t="shared" si="11"/>
        <v>-</v>
      </c>
    </row>
    <row r="13" spans="2:60" ht="33" customHeight="1">
      <c r="B13" s="647">
        <v>8</v>
      </c>
      <c r="C13" s="1099"/>
      <c r="D13" s="1099"/>
      <c r="E13" s="1099"/>
      <c r="F13" s="1099"/>
      <c r="G13" s="1099"/>
      <c r="H13" s="1116"/>
      <c r="I13" s="1099"/>
      <c r="J13" s="1099"/>
      <c r="K13" s="1099"/>
      <c r="L13" s="1099"/>
      <c r="M13" s="1099"/>
      <c r="N13" s="1099"/>
      <c r="O13" s="1099"/>
      <c r="P13" s="1106"/>
      <c r="Q13" s="1106"/>
      <c r="R13" s="1106"/>
      <c r="S13" s="1106"/>
      <c r="T13" s="1104"/>
      <c r="U13" s="1105"/>
      <c r="V13" s="648" t="s">
        <v>4</v>
      </c>
      <c r="W13" s="1100"/>
      <c r="X13" s="1100"/>
      <c r="Y13" s="1100"/>
      <c r="Z13" s="1100"/>
      <c r="AA13" s="1117"/>
      <c r="AB13" s="1117"/>
      <c r="AC13" s="1118">
        <f t="shared" si="1"/>
        <v>0</v>
      </c>
      <c r="AD13" s="1118"/>
      <c r="AE13" s="1118"/>
      <c r="AF13" s="1118"/>
      <c r="AG13" s="1161"/>
      <c r="AH13" s="1161"/>
      <c r="AI13" s="1161"/>
      <c r="AJ13" s="1161"/>
      <c r="AK13" s="1161"/>
      <c r="AL13" s="1162"/>
      <c r="AM13" s="1162"/>
      <c r="AN13" s="1162"/>
      <c r="AO13" s="1162"/>
      <c r="AP13" s="644"/>
      <c r="AQ13" s="470"/>
      <c r="AS13" s="663"/>
      <c r="AT13" s="657" t="str">
        <f t="shared" si="2"/>
        <v>0</v>
      </c>
      <c r="AU13" s="657" t="str">
        <f t="shared" si="3"/>
        <v>0</v>
      </c>
      <c r="AV13" s="657" t="str">
        <f t="shared" si="4"/>
        <v>0</v>
      </c>
      <c r="AW13" s="657" t="str">
        <f t="shared" si="5"/>
        <v>0</v>
      </c>
      <c r="AX13" s="658"/>
      <c r="AY13" s="659"/>
      <c r="AZ13" s="660">
        <f t="shared" si="6"/>
        <v>0</v>
      </c>
      <c r="BA13" s="660">
        <f t="shared" si="7"/>
        <v>0</v>
      </c>
      <c r="BB13" s="661">
        <f t="shared" si="8"/>
        <v>0</v>
      </c>
      <c r="BC13" s="660">
        <f t="shared" si="9"/>
        <v>0</v>
      </c>
      <c r="BE13" s="662" t="str">
        <f t="shared" si="10"/>
        <v>要申請者区分選択</v>
      </c>
      <c r="BF13" s="662" t="str">
        <f t="shared" si="11"/>
        <v>-</v>
      </c>
    </row>
    <row r="14" spans="2:60" ht="10.5" customHeight="1">
      <c r="B14" s="689" t="s">
        <v>158</v>
      </c>
      <c r="C14" s="1113"/>
      <c r="D14" s="1113"/>
      <c r="E14" s="1113"/>
      <c r="F14" s="1113"/>
      <c r="G14" s="1113"/>
      <c r="H14" s="1113"/>
      <c r="I14" s="1113"/>
      <c r="J14" s="1113"/>
      <c r="K14" s="841"/>
      <c r="L14" s="1107" t="s">
        <v>445</v>
      </c>
      <c r="M14" s="1108"/>
      <c r="N14" s="1108"/>
      <c r="O14" s="1109"/>
      <c r="P14" s="1110">
        <f>AT14</f>
        <v>0</v>
      </c>
      <c r="Q14" s="1111"/>
      <c r="R14" s="1111"/>
      <c r="S14" s="1112"/>
      <c r="T14" s="1125"/>
      <c r="U14" s="1126"/>
      <c r="V14" s="1127"/>
      <c r="W14" s="1138" t="s">
        <v>588</v>
      </c>
      <c r="X14" s="1139"/>
      <c r="Y14" s="1139"/>
      <c r="Z14" s="1139"/>
      <c r="AA14" s="1139"/>
      <c r="AB14" s="1140"/>
      <c r="AC14" s="1134">
        <f>AZ14+BA14</f>
        <v>0</v>
      </c>
      <c r="AD14" s="1135"/>
      <c r="AE14" s="1135"/>
      <c r="AF14" s="1135"/>
      <c r="AG14" s="1198"/>
      <c r="AH14" s="1199"/>
      <c r="AI14" s="1199"/>
      <c r="AJ14" s="1199"/>
      <c r="AK14" s="1199"/>
      <c r="AL14" s="1199"/>
      <c r="AM14" s="1199"/>
      <c r="AN14" s="1199"/>
      <c r="AO14" s="1199"/>
      <c r="AP14" s="644"/>
      <c r="AQ14" s="470"/>
      <c r="AS14" s="1177" t="s">
        <v>487</v>
      </c>
      <c r="AT14" s="1180">
        <f>SUM(AT6:AT13)</f>
        <v>0</v>
      </c>
      <c r="AU14" s="1180">
        <f>SUM(AU6:AU13)</f>
        <v>0</v>
      </c>
      <c r="AV14" s="1180">
        <f>SUM(AV6:AV13)</f>
        <v>0</v>
      </c>
      <c r="AW14" s="1180">
        <f>SUM(AW6:AW13)</f>
        <v>0</v>
      </c>
      <c r="AX14" s="664"/>
      <c r="AY14" s="1177" t="s">
        <v>583</v>
      </c>
      <c r="AZ14" s="1174">
        <f>SUM(AZ6:AZ13)</f>
        <v>0</v>
      </c>
      <c r="BA14" s="1174">
        <f>SUM(BA6:BA13)</f>
        <v>0</v>
      </c>
      <c r="BB14" s="1185">
        <f>SUM(BB6:BB13)</f>
        <v>0</v>
      </c>
      <c r="BC14" s="1174">
        <f>SUM(BC6:BC13)</f>
        <v>0</v>
      </c>
    </row>
    <row r="15" spans="2:60" ht="10.5" customHeight="1">
      <c r="B15" s="691"/>
      <c r="C15" s="1114"/>
      <c r="D15" s="1114"/>
      <c r="E15" s="1114"/>
      <c r="F15" s="1114"/>
      <c r="G15" s="1114"/>
      <c r="H15" s="1114"/>
      <c r="I15" s="1114"/>
      <c r="J15" s="1114"/>
      <c r="K15" s="842"/>
      <c r="L15" s="1107" t="s">
        <v>390</v>
      </c>
      <c r="M15" s="1108"/>
      <c r="N15" s="1108"/>
      <c r="O15" s="1109"/>
      <c r="P15" s="1110">
        <f>AU14</f>
        <v>0</v>
      </c>
      <c r="Q15" s="1111"/>
      <c r="R15" s="1111"/>
      <c r="S15" s="1112"/>
      <c r="T15" s="1128"/>
      <c r="U15" s="1129"/>
      <c r="V15" s="1130"/>
      <c r="W15" s="1141"/>
      <c r="X15" s="1142"/>
      <c r="Y15" s="1142"/>
      <c r="Z15" s="1142"/>
      <c r="AA15" s="1142"/>
      <c r="AB15" s="1143"/>
      <c r="AC15" s="1136"/>
      <c r="AD15" s="1137"/>
      <c r="AE15" s="1137"/>
      <c r="AF15" s="1137"/>
      <c r="AG15" s="1199"/>
      <c r="AH15" s="1199"/>
      <c r="AI15" s="1199"/>
      <c r="AJ15" s="1199"/>
      <c r="AK15" s="1199"/>
      <c r="AL15" s="1199"/>
      <c r="AM15" s="1199"/>
      <c r="AN15" s="1199"/>
      <c r="AO15" s="1199"/>
      <c r="AP15" s="644"/>
      <c r="AQ15" s="470"/>
      <c r="AS15" s="1178"/>
      <c r="AT15" s="1181"/>
      <c r="AU15" s="1181"/>
      <c r="AV15" s="1181"/>
      <c r="AW15" s="1181"/>
      <c r="AX15" s="664"/>
      <c r="AY15" s="1178"/>
      <c r="AZ15" s="1175"/>
      <c r="BA15" s="1175"/>
      <c r="BB15" s="1186"/>
      <c r="BC15" s="1175"/>
      <c r="BF15" s="650"/>
    </row>
    <row r="16" spans="2:60" ht="10.5" customHeight="1">
      <c r="B16" s="691"/>
      <c r="C16" s="1114"/>
      <c r="D16" s="1114"/>
      <c r="E16" s="1114"/>
      <c r="F16" s="1114"/>
      <c r="G16" s="1114"/>
      <c r="H16" s="1114"/>
      <c r="I16" s="1114"/>
      <c r="J16" s="1114"/>
      <c r="K16" s="842"/>
      <c r="L16" s="1107" t="s">
        <v>576</v>
      </c>
      <c r="M16" s="1108"/>
      <c r="N16" s="1108"/>
      <c r="O16" s="1109"/>
      <c r="P16" s="1110">
        <f>AV14</f>
        <v>0</v>
      </c>
      <c r="Q16" s="1111"/>
      <c r="R16" s="1111"/>
      <c r="S16" s="1112"/>
      <c r="T16" s="1128"/>
      <c r="U16" s="1129"/>
      <c r="V16" s="1130"/>
      <c r="W16" s="1144" t="s">
        <v>576</v>
      </c>
      <c r="X16" s="1139"/>
      <c r="Y16" s="1139"/>
      <c r="Z16" s="1139"/>
      <c r="AA16" s="1139"/>
      <c r="AB16" s="1140"/>
      <c r="AC16" s="1148">
        <f>BB14</f>
        <v>0</v>
      </c>
      <c r="AD16" s="1149"/>
      <c r="AE16" s="1149"/>
      <c r="AF16" s="1149"/>
      <c r="AG16" s="1200" t="str">
        <f>IF(BB18="要申請者区分選択","要申請者区分選択",BF16)</f>
        <v>要申請者区分選択</v>
      </c>
      <c r="AH16" s="1200"/>
      <c r="AI16" s="1200"/>
      <c r="AJ16" s="1200"/>
      <c r="AK16" s="1200"/>
      <c r="AL16" s="1200"/>
      <c r="AM16" s="1200"/>
      <c r="AN16" s="1200"/>
      <c r="AO16" s="1200"/>
      <c r="AP16" s="644"/>
      <c r="AQ16" s="470"/>
      <c r="AS16" s="1178"/>
      <c r="AT16" s="1181"/>
      <c r="AU16" s="1181"/>
      <c r="AV16" s="1181"/>
      <c r="AW16" s="1181"/>
      <c r="AX16" s="664"/>
      <c r="AY16" s="1178"/>
      <c r="AZ16" s="1175"/>
      <c r="BA16" s="1175"/>
      <c r="BB16" s="1186"/>
      <c r="BC16" s="1175"/>
      <c r="BE16" s="665" t="str">
        <f>IF(申請書!B29="○","助成率1/2",
IF(OR(申請書!B30="○",申請書!B31="○",申請書!B32="○",申請書!B34="○",申請書!B35="○",申請書!B39="○",申請書!B40="○",申請書!B44="○",申請書!B45="○",申請書!B47="○",申請書!B48="○"),"助成率3/4",
IF(申請書!B33="○","助成率2/3３千万",
IF(OR(申請書!B38="○",申請書!B43="○",申請書!B46="○"),"助成率2/3",
IF(OR(申請書!B36="○",申請書!B37="○"),"助成率4/5",
IF(申請書!B49="○","助成率3/4２億",
"要申請者区分選択"))))))</f>
        <v>要申請者区分選択</v>
      </c>
      <c r="BF16" s="665" t="str">
        <f>IF(COUNTIF(BF6:BF13,"ｿﾌﾄｳｪｱ申請額下限額未満"),"ｿﾌﾄｳｪｱ申請額下限額未満",IF(COUNT(BF6:BF13),"ｿﾌﾄｳｪｱ申請額下限額OK",""))</f>
        <v/>
      </c>
    </row>
    <row r="17" spans="2:60" ht="10.5" customHeight="1">
      <c r="B17" s="843"/>
      <c r="C17" s="1115"/>
      <c r="D17" s="1115"/>
      <c r="E17" s="1115"/>
      <c r="F17" s="1115"/>
      <c r="G17" s="1115"/>
      <c r="H17" s="1115"/>
      <c r="I17" s="1115"/>
      <c r="J17" s="1115"/>
      <c r="K17" s="844"/>
      <c r="L17" s="1107" t="s">
        <v>577</v>
      </c>
      <c r="M17" s="1108"/>
      <c r="N17" s="1108"/>
      <c r="O17" s="1109"/>
      <c r="P17" s="1110">
        <f>AW14</f>
        <v>0</v>
      </c>
      <c r="Q17" s="1111"/>
      <c r="R17" s="1111"/>
      <c r="S17" s="1112"/>
      <c r="T17" s="1131"/>
      <c r="U17" s="1132"/>
      <c r="V17" s="1133"/>
      <c r="W17" s="1145" t="s">
        <v>577</v>
      </c>
      <c r="X17" s="1146"/>
      <c r="Y17" s="1146"/>
      <c r="Z17" s="1146"/>
      <c r="AA17" s="1146"/>
      <c r="AB17" s="1147"/>
      <c r="AC17" s="1150">
        <f>BC14</f>
        <v>0</v>
      </c>
      <c r="AD17" s="1151"/>
      <c r="AE17" s="1151"/>
      <c r="AF17" s="1151"/>
      <c r="AG17" s="1201" t="str">
        <f>IF(AC17&gt;0, IF(AND(OR(申請書!B38="○",申請書!B39="○",申請書!B40="○"),OR(AC14&gt;0,BF16="ｿﾌﾄｳｪｱ申請額下限額OK")),"ソフトウエアＢ 選択OK","ソフトウエアＢは購入不可"),"")</f>
        <v/>
      </c>
      <c r="AH17" s="1201"/>
      <c r="AI17" s="1201"/>
      <c r="AJ17" s="1201"/>
      <c r="AK17" s="1201"/>
      <c r="AL17" s="1201"/>
      <c r="AM17" s="1201"/>
      <c r="AN17" s="1201"/>
      <c r="AO17" s="1201"/>
      <c r="AP17" s="644"/>
      <c r="AQ17" s="470"/>
      <c r="AS17" s="1179"/>
      <c r="AT17" s="1182"/>
      <c r="AU17" s="1182"/>
      <c r="AV17" s="1182"/>
      <c r="AW17" s="1182"/>
      <c r="AX17" s="664"/>
      <c r="AY17" s="1179"/>
      <c r="AZ17" s="1176"/>
      <c r="BA17" s="1176"/>
      <c r="BB17" s="1187"/>
      <c r="BC17" s="1176"/>
      <c r="BF17" s="666"/>
    </row>
    <row r="18" spans="2:60" s="34" customFormat="1" ht="15.65" customHeight="1">
      <c r="B18" s="34" t="s">
        <v>573</v>
      </c>
      <c r="AQ18" s="304"/>
      <c r="AR18" s="304"/>
      <c r="AS18" s="304"/>
      <c r="AT18" s="304"/>
      <c r="AU18" s="304"/>
      <c r="AV18" s="1190">
        <f>AV14+AW14</f>
        <v>0</v>
      </c>
      <c r="AW18" s="1191"/>
      <c r="AX18" s="304"/>
      <c r="AY18" s="304"/>
      <c r="AZ18" s="304"/>
      <c r="BA18" s="344" t="s">
        <v>1109</v>
      </c>
      <c r="BB18" s="667" t="str">
        <f>IF(資金計画!AC17="要申請者区分選択","要申請者区分選択",
IF(資金計画!AC17="助成率1/2",MIN(ROUNDDOWN(BB14*1/2,-3),10000000),
IF(資金計画!AC17="助成率2/3",MIN(ROUNDDOWN(BB14*2/3,-3),10000000),
IF(資金計画!AC17="助成率2/3３千万",MIN(ROUNDDOWN(BB14*2/3,-3),10000000),
IF(資金計画!AC17="助成率3/4",MIN(ROUNDDOWN(BB14*3/4,-3),10000000),
IF(資金計画!AC17="助成率4/5",MIN(ROUNDDOWN(BB14*4/5,-3),10000000),
IF(資金計画!AC17="助成率3/4２億",MIN(ROUNDDOWN(BB14*3/4,-3),20000000),"-")))))))</f>
        <v>要申請者区分選択</v>
      </c>
      <c r="BC18" s="667" t="str">
        <f>IF(資金計画!AC17="要申請者区分選択","要申請者区分選択",
IF(資金計画!AC17="助成率1/2",MIN(ROUNDDOWN(BC14*1/2,-3),10000000),
IF(資金計画!AC17="助成率2/3",MIN(ROUNDDOWN(BC14*2/3,-3),10000000),
IF(資金計画!AC17="助成率2/3３千万",MIN(ROUNDDOWN(BC14*2/3,-3),10000000),
IF(資金計画!AC17="助成率3/4",MIN(ROUNDDOWN(BC14*3/4,-3),10000000),"")))))</f>
        <v>要申請者区分選択</v>
      </c>
      <c r="BD18" s="304"/>
      <c r="BE18" s="304"/>
      <c r="BF18" s="304"/>
      <c r="BG18" s="304"/>
      <c r="BH18" s="304"/>
    </row>
    <row r="19" spans="2:60" s="34" customFormat="1" ht="12.65" customHeight="1">
      <c r="B19" s="34" t="s">
        <v>574</v>
      </c>
      <c r="C19" s="338"/>
      <c r="D19" s="54"/>
      <c r="AQ19" s="304"/>
      <c r="AR19" s="304"/>
      <c r="AS19" s="304"/>
      <c r="AT19" s="304"/>
      <c r="AU19" s="304"/>
      <c r="AV19" s="304"/>
      <c r="AW19" s="304"/>
      <c r="AX19" s="304"/>
      <c r="AY19" s="304"/>
      <c r="AZ19" s="304"/>
      <c r="BA19" s="344" t="s">
        <v>1110</v>
      </c>
      <c r="BB19" s="660" t="str">
        <f>IF(資金計画!AB17="要申請者区分選択","要申請者区分選択",IF(資金計画!AB17="助成率2/3",MIN(ROUNDDOWN(BB14*2/3,-3),10000000),""))</f>
        <v>要申請者区分選択</v>
      </c>
      <c r="BC19" s="660" t="str">
        <f>IF(資金計画!AB17="要申請者区分選択","要申請者区分選択",IF(資金計画!AB17="助成率2/3",MIN(ROUNDDOWN(BC14*2/3,-3),10000000),""))</f>
        <v>要申請者区分選択</v>
      </c>
      <c r="BD19" s="304"/>
      <c r="BE19" s="304"/>
      <c r="BF19" s="304"/>
      <c r="BG19" s="304"/>
      <c r="BH19" s="304"/>
    </row>
    <row r="20" spans="2:60" s="34" customFormat="1" ht="12.65" customHeight="1">
      <c r="B20" s="34" t="s">
        <v>580</v>
      </c>
      <c r="C20" s="338"/>
      <c r="D20" s="54"/>
      <c r="AQ20" s="304"/>
      <c r="AR20" s="304"/>
      <c r="AS20" s="304"/>
      <c r="AT20" s="304"/>
      <c r="AU20" s="304"/>
      <c r="AV20" s="304"/>
      <c r="AW20" s="304"/>
      <c r="AX20" s="304"/>
      <c r="AY20" s="304"/>
      <c r="AZ20" s="304"/>
      <c r="BA20" s="344" t="s">
        <v>1111</v>
      </c>
      <c r="BB20" s="660" t="str">
        <f>IF(資金計画!AA17="要申請者区分選択","要申請者区分選択",IF(資金計画!AA17="助成率3/4",MIN(ROUNDDOWN(BB14*3/4,-3),10000000),""))</f>
        <v>要申請者区分選択</v>
      </c>
      <c r="BC20" s="660" t="str">
        <f>IF(資金計画!AA17="要申請者区分選択","要申請者区分選択",IF(資金計画!AA17="助成率3/4",MIN(ROUNDDOWN(BC14*3/4,-3),10000000),""))</f>
        <v>要申請者区分選択</v>
      </c>
      <c r="BD20" s="304"/>
      <c r="BE20" s="304"/>
      <c r="BF20" s="304"/>
      <c r="BG20" s="304"/>
      <c r="BH20" s="304"/>
    </row>
    <row r="21" spans="2:60" ht="6" customHeight="1">
      <c r="B21" s="644"/>
      <c r="C21" s="644"/>
      <c r="D21" s="644"/>
      <c r="E21" s="644"/>
      <c r="F21" s="644"/>
      <c r="G21" s="644"/>
      <c r="H21" s="644"/>
      <c r="I21" s="644"/>
      <c r="J21" s="644"/>
      <c r="K21" s="644"/>
      <c r="L21" s="644"/>
      <c r="M21" s="644"/>
      <c r="N21" s="644"/>
      <c r="O21" s="644"/>
      <c r="P21" s="644"/>
      <c r="Q21" s="644"/>
      <c r="R21" s="644"/>
      <c r="S21" s="644"/>
      <c r="T21" s="644"/>
      <c r="U21" s="644"/>
      <c r="V21" s="644"/>
      <c r="W21" s="644"/>
      <c r="X21" s="644"/>
      <c r="Y21" s="644"/>
      <c r="Z21" s="644"/>
      <c r="AA21" s="644"/>
      <c r="AB21" s="644"/>
      <c r="AC21" s="644"/>
      <c r="AD21" s="644"/>
      <c r="AE21" s="644"/>
      <c r="AF21" s="644"/>
      <c r="AG21" s="644"/>
      <c r="AH21" s="644"/>
      <c r="AI21" s="644"/>
      <c r="AJ21" s="644"/>
      <c r="AK21" s="644"/>
      <c r="AL21" s="644"/>
      <c r="AM21" s="644"/>
      <c r="AN21" s="644"/>
      <c r="AO21" s="644"/>
      <c r="AP21" s="644"/>
    </row>
    <row r="22" spans="2:60" ht="18" customHeight="1">
      <c r="B22" s="39" t="s">
        <v>152</v>
      </c>
      <c r="C22" s="644"/>
      <c r="D22" s="644"/>
      <c r="E22" s="644"/>
      <c r="F22" s="644"/>
      <c r="G22" s="644"/>
      <c r="H22" s="644"/>
      <c r="I22" s="644"/>
      <c r="J22" s="644"/>
      <c r="K22" s="644"/>
      <c r="L22" s="644"/>
      <c r="M22" s="644"/>
      <c r="N22" s="644"/>
      <c r="O22" s="644"/>
      <c r="P22" s="644"/>
      <c r="Q22" s="644"/>
      <c r="R22" s="644"/>
      <c r="S22" s="644"/>
      <c r="T22" s="644"/>
      <c r="U22" s="644"/>
      <c r="V22" s="644"/>
      <c r="W22" s="644"/>
      <c r="X22" s="644"/>
      <c r="Y22" s="644"/>
      <c r="Z22" s="644"/>
      <c r="AA22" s="644"/>
      <c r="AB22" s="644"/>
      <c r="AC22" s="644"/>
      <c r="AD22" s="644"/>
      <c r="AE22" s="644"/>
      <c r="AF22" s="644"/>
      <c r="AG22" s="644"/>
      <c r="AH22" s="644"/>
      <c r="AI22" s="644"/>
      <c r="AJ22" s="644"/>
      <c r="AK22" s="644"/>
      <c r="AL22" s="644"/>
      <c r="AM22" s="644"/>
      <c r="AN22" s="644"/>
      <c r="AO22" s="644"/>
      <c r="AP22" s="644"/>
    </row>
    <row r="23" spans="2:60" ht="10.5" customHeight="1" thickBot="1">
      <c r="B23" s="39"/>
      <c r="C23" s="644"/>
      <c r="D23" s="644"/>
      <c r="E23" s="644"/>
      <c r="F23" s="644"/>
      <c r="G23" s="644"/>
      <c r="H23" s="644"/>
      <c r="I23" s="644"/>
      <c r="J23" s="644"/>
      <c r="K23" s="644"/>
      <c r="L23" s="644"/>
      <c r="M23" s="644"/>
      <c r="N23" s="644"/>
      <c r="O23" s="644"/>
      <c r="P23" s="278" t="s">
        <v>503</v>
      </c>
      <c r="Q23" s="40" t="s">
        <v>521</v>
      </c>
      <c r="R23" s="53"/>
      <c r="S23" s="53"/>
      <c r="T23" s="53"/>
      <c r="U23" s="53"/>
      <c r="V23" s="53"/>
      <c r="W23" s="53"/>
      <c r="X23" s="53"/>
      <c r="Y23" s="53"/>
      <c r="Z23" s="53"/>
      <c r="AA23" s="53"/>
      <c r="AB23" s="53"/>
      <c r="AC23" s="53"/>
      <c r="AD23" s="53"/>
      <c r="AE23" s="53"/>
      <c r="AF23" s="53"/>
      <c r="AG23" s="53"/>
      <c r="AH23" s="53"/>
      <c r="AI23" s="53"/>
      <c r="AJ23" s="53"/>
      <c r="AK23" s="53"/>
      <c r="AL23" s="53"/>
      <c r="AM23" s="53"/>
      <c r="AN23" s="53"/>
      <c r="AO23" s="644"/>
      <c r="AP23" s="644"/>
    </row>
    <row r="24" spans="2:60" ht="18.75" customHeight="1">
      <c r="B24" s="1101" t="s">
        <v>145</v>
      </c>
      <c r="C24" s="1103" t="s">
        <v>146</v>
      </c>
      <c r="D24" s="1103"/>
      <c r="E24" s="1103"/>
      <c r="F24" s="1103"/>
      <c r="G24" s="1103"/>
      <c r="H24" s="1103" t="s">
        <v>154</v>
      </c>
      <c r="I24" s="1103"/>
      <c r="J24" s="1103"/>
      <c r="K24" s="1103"/>
      <c r="L24" s="1103"/>
      <c r="M24" s="1103"/>
      <c r="N24" s="1103"/>
      <c r="O24" s="1103"/>
      <c r="P24" s="1183" t="s">
        <v>502</v>
      </c>
      <c r="Q24" s="1152" t="s">
        <v>155</v>
      </c>
      <c r="R24" s="715"/>
      <c r="S24" s="715"/>
      <c r="T24" s="715"/>
      <c r="U24" s="715"/>
      <c r="V24" s="715"/>
      <c r="W24" s="715"/>
      <c r="X24" s="716"/>
      <c r="Y24" s="1154" t="s">
        <v>156</v>
      </c>
      <c r="Z24" s="848"/>
      <c r="AA24" s="848"/>
      <c r="AB24" s="820"/>
      <c r="AC24" s="1154" t="s">
        <v>434</v>
      </c>
      <c r="AD24" s="848"/>
      <c r="AE24" s="848"/>
      <c r="AF24" s="820"/>
      <c r="AG24" s="1154" t="s">
        <v>435</v>
      </c>
      <c r="AH24" s="848"/>
      <c r="AI24" s="848"/>
      <c r="AJ24" s="820"/>
      <c r="AL24" s="1120" t="s">
        <v>157</v>
      </c>
      <c r="AM24" s="1121"/>
      <c r="AN24" s="1121"/>
      <c r="AO24" s="1122"/>
      <c r="AP24" s="644"/>
    </row>
    <row r="25" spans="2:60" ht="34.15" customHeight="1">
      <c r="B25" s="1102"/>
      <c r="C25" s="1103"/>
      <c r="D25" s="1103"/>
      <c r="E25" s="1103"/>
      <c r="F25" s="1103"/>
      <c r="G25" s="1103"/>
      <c r="H25" s="1103" t="s">
        <v>153</v>
      </c>
      <c r="I25" s="1103"/>
      <c r="J25" s="1103"/>
      <c r="K25" s="1103"/>
      <c r="L25" s="1157" t="s">
        <v>501</v>
      </c>
      <c r="M25" s="1157"/>
      <c r="N25" s="1157"/>
      <c r="O25" s="1157"/>
      <c r="P25" s="1184"/>
      <c r="Q25" s="1152" t="s">
        <v>153</v>
      </c>
      <c r="R25" s="715"/>
      <c r="S25" s="715"/>
      <c r="T25" s="716"/>
      <c r="U25" s="1153" t="s">
        <v>501</v>
      </c>
      <c r="V25" s="971"/>
      <c r="W25" s="971"/>
      <c r="X25" s="972"/>
      <c r="Y25" s="849"/>
      <c r="Z25" s="850"/>
      <c r="AA25" s="850"/>
      <c r="AB25" s="1062"/>
      <c r="AC25" s="849"/>
      <c r="AD25" s="850"/>
      <c r="AE25" s="850"/>
      <c r="AF25" s="1062"/>
      <c r="AG25" s="849"/>
      <c r="AH25" s="850"/>
      <c r="AI25" s="850"/>
      <c r="AJ25" s="1062"/>
      <c r="AK25" s="108"/>
      <c r="AL25" s="1123"/>
      <c r="AM25" s="850"/>
      <c r="AN25" s="850"/>
      <c r="AO25" s="1124"/>
      <c r="AP25" s="644"/>
    </row>
    <row r="26" spans="2:60" ht="34.15" customHeight="1" thickBot="1">
      <c r="B26" s="88">
        <v>1</v>
      </c>
      <c r="C26" s="1156">
        <f t="shared" ref="C26:C31" si="12">C6</f>
        <v>0</v>
      </c>
      <c r="D26" s="1156"/>
      <c r="E26" s="1156"/>
      <c r="F26" s="1156"/>
      <c r="G26" s="1156"/>
      <c r="H26" s="1099"/>
      <c r="I26" s="1099"/>
      <c r="J26" s="1099"/>
      <c r="K26" s="1099"/>
      <c r="L26" s="1155">
        <f t="shared" ref="L26:L31" si="13">AC6</f>
        <v>0</v>
      </c>
      <c r="M26" s="1155"/>
      <c r="N26" s="1155"/>
      <c r="O26" s="1155"/>
      <c r="P26" s="649"/>
      <c r="Q26" s="1171"/>
      <c r="R26" s="1172"/>
      <c r="S26" s="1172"/>
      <c r="T26" s="1173"/>
      <c r="U26" s="1164"/>
      <c r="V26" s="1165"/>
      <c r="W26" s="1165"/>
      <c r="X26" s="1166"/>
      <c r="Y26" s="1170"/>
      <c r="Z26" s="715"/>
      <c r="AA26" s="715"/>
      <c r="AB26" s="716"/>
      <c r="AC26" s="1170"/>
      <c r="AD26" s="715"/>
      <c r="AE26" s="715"/>
      <c r="AF26" s="716"/>
      <c r="AG26" s="1170"/>
      <c r="AH26" s="715"/>
      <c r="AI26" s="715"/>
      <c r="AJ26" s="716"/>
      <c r="AK26" s="177"/>
      <c r="AL26" s="1170"/>
      <c r="AM26" s="715"/>
      <c r="AN26" s="715"/>
      <c r="AO26" s="716"/>
      <c r="AP26" s="644"/>
      <c r="AQ26" s="62"/>
      <c r="AR26" s="477"/>
      <c r="AS26" s="477"/>
    </row>
    <row r="27" spans="2:60" ht="34.15" customHeight="1">
      <c r="B27" s="88">
        <v>2</v>
      </c>
      <c r="C27" s="1156">
        <f t="shared" si="12"/>
        <v>0</v>
      </c>
      <c r="D27" s="1156"/>
      <c r="E27" s="1156"/>
      <c r="F27" s="1156"/>
      <c r="G27" s="1156"/>
      <c r="H27" s="1099"/>
      <c r="I27" s="1099"/>
      <c r="J27" s="1099"/>
      <c r="K27" s="1099"/>
      <c r="L27" s="1155">
        <f t="shared" si="13"/>
        <v>0</v>
      </c>
      <c r="M27" s="1155"/>
      <c r="N27" s="1155"/>
      <c r="O27" s="1155"/>
      <c r="P27" s="649"/>
      <c r="Q27" s="1171"/>
      <c r="R27" s="1172"/>
      <c r="S27" s="1172"/>
      <c r="T27" s="1173"/>
      <c r="U27" s="1164"/>
      <c r="V27" s="1165"/>
      <c r="W27" s="1165"/>
      <c r="X27" s="1166"/>
      <c r="Y27" s="1170"/>
      <c r="Z27" s="715"/>
      <c r="AA27" s="715"/>
      <c r="AB27" s="716"/>
      <c r="AC27" s="1170"/>
      <c r="AD27" s="715"/>
      <c r="AE27" s="715"/>
      <c r="AF27" s="716"/>
      <c r="AG27" s="1170"/>
      <c r="AH27" s="715"/>
      <c r="AI27" s="715"/>
      <c r="AJ27" s="716"/>
      <c r="AK27" s="644"/>
      <c r="AL27" s="1167" t="s">
        <v>898</v>
      </c>
      <c r="AM27" s="1168"/>
      <c r="AN27" s="1168"/>
      <c r="AO27" s="1168"/>
      <c r="AP27" s="644"/>
    </row>
    <row r="28" spans="2:60" ht="34.15" customHeight="1">
      <c r="B28" s="88">
        <v>3</v>
      </c>
      <c r="C28" s="1156">
        <f t="shared" si="12"/>
        <v>0</v>
      </c>
      <c r="D28" s="1156"/>
      <c r="E28" s="1156"/>
      <c r="F28" s="1156"/>
      <c r="G28" s="1156"/>
      <c r="H28" s="1099"/>
      <c r="I28" s="1099"/>
      <c r="J28" s="1099"/>
      <c r="K28" s="1099"/>
      <c r="L28" s="1155">
        <f t="shared" si="13"/>
        <v>0</v>
      </c>
      <c r="M28" s="1155"/>
      <c r="N28" s="1155"/>
      <c r="O28" s="1155"/>
      <c r="P28" s="649"/>
      <c r="Q28" s="1171"/>
      <c r="R28" s="1172"/>
      <c r="S28" s="1172"/>
      <c r="T28" s="1173"/>
      <c r="U28" s="1164"/>
      <c r="V28" s="1165"/>
      <c r="W28" s="1165"/>
      <c r="X28" s="1166"/>
      <c r="Y28" s="1170"/>
      <c r="Z28" s="715"/>
      <c r="AA28" s="715"/>
      <c r="AB28" s="716"/>
      <c r="AC28" s="1170"/>
      <c r="AD28" s="715"/>
      <c r="AE28" s="715"/>
      <c r="AF28" s="716"/>
      <c r="AG28" s="1170"/>
      <c r="AH28" s="715"/>
      <c r="AI28" s="715"/>
      <c r="AJ28" s="716"/>
      <c r="AK28" s="644"/>
      <c r="AL28" s="1169"/>
      <c r="AM28" s="1169"/>
      <c r="AN28" s="1169"/>
      <c r="AO28" s="1169"/>
      <c r="AP28" s="644"/>
    </row>
    <row r="29" spans="2:60" ht="34.15" customHeight="1">
      <c r="B29" s="88">
        <v>4</v>
      </c>
      <c r="C29" s="1156">
        <f t="shared" si="12"/>
        <v>0</v>
      </c>
      <c r="D29" s="1156"/>
      <c r="E29" s="1156"/>
      <c r="F29" s="1156"/>
      <c r="G29" s="1156"/>
      <c r="H29" s="1099"/>
      <c r="I29" s="1099"/>
      <c r="J29" s="1099"/>
      <c r="K29" s="1099"/>
      <c r="L29" s="1155">
        <f t="shared" si="13"/>
        <v>0</v>
      </c>
      <c r="M29" s="1155"/>
      <c r="N29" s="1155"/>
      <c r="O29" s="1155"/>
      <c r="P29" s="649"/>
      <c r="Q29" s="1171"/>
      <c r="R29" s="1172"/>
      <c r="S29" s="1172"/>
      <c r="T29" s="1173"/>
      <c r="U29" s="1164"/>
      <c r="V29" s="1165"/>
      <c r="W29" s="1165"/>
      <c r="X29" s="1166"/>
      <c r="Y29" s="1170"/>
      <c r="Z29" s="715"/>
      <c r="AA29" s="715"/>
      <c r="AB29" s="716"/>
      <c r="AC29" s="1170"/>
      <c r="AD29" s="715"/>
      <c r="AE29" s="715"/>
      <c r="AF29" s="716"/>
      <c r="AG29" s="1170"/>
      <c r="AH29" s="715"/>
      <c r="AI29" s="715"/>
      <c r="AJ29" s="716"/>
      <c r="AK29" s="644"/>
      <c r="AL29" s="1169"/>
      <c r="AM29" s="1169"/>
      <c r="AN29" s="1169"/>
      <c r="AO29" s="1169"/>
      <c r="AP29" s="644"/>
    </row>
    <row r="30" spans="2:60" ht="34.15" customHeight="1">
      <c r="B30" s="88">
        <v>5</v>
      </c>
      <c r="C30" s="1156">
        <f t="shared" si="12"/>
        <v>0</v>
      </c>
      <c r="D30" s="1156"/>
      <c r="E30" s="1156"/>
      <c r="F30" s="1156"/>
      <c r="G30" s="1156"/>
      <c r="H30" s="1099"/>
      <c r="I30" s="1099"/>
      <c r="J30" s="1099"/>
      <c r="K30" s="1099"/>
      <c r="L30" s="1155">
        <f t="shared" si="13"/>
        <v>0</v>
      </c>
      <c r="M30" s="1155"/>
      <c r="N30" s="1155"/>
      <c r="O30" s="1155"/>
      <c r="P30" s="649"/>
      <c r="Q30" s="1171"/>
      <c r="R30" s="1172"/>
      <c r="S30" s="1172"/>
      <c r="T30" s="1173"/>
      <c r="U30" s="1164"/>
      <c r="V30" s="1165"/>
      <c r="W30" s="1165"/>
      <c r="X30" s="1166"/>
      <c r="Y30" s="1170"/>
      <c r="Z30" s="715"/>
      <c r="AA30" s="715"/>
      <c r="AB30" s="716"/>
      <c r="AC30" s="1170"/>
      <c r="AD30" s="715"/>
      <c r="AE30" s="715"/>
      <c r="AF30" s="716"/>
      <c r="AG30" s="1170"/>
      <c r="AH30" s="715"/>
      <c r="AI30" s="715"/>
      <c r="AJ30" s="716"/>
      <c r="AK30" s="644"/>
      <c r="AL30" s="1169"/>
      <c r="AM30" s="1169"/>
      <c r="AN30" s="1169"/>
      <c r="AO30" s="1169"/>
      <c r="AP30" s="644"/>
    </row>
    <row r="31" spans="2:60" ht="34.15" customHeight="1">
      <c r="B31" s="88">
        <v>6</v>
      </c>
      <c r="C31" s="1156">
        <f t="shared" si="12"/>
        <v>0</v>
      </c>
      <c r="D31" s="1156"/>
      <c r="E31" s="1156"/>
      <c r="F31" s="1156"/>
      <c r="G31" s="1156"/>
      <c r="H31" s="1099"/>
      <c r="I31" s="1099"/>
      <c r="J31" s="1099"/>
      <c r="K31" s="1099"/>
      <c r="L31" s="1155">
        <f t="shared" si="13"/>
        <v>0</v>
      </c>
      <c r="M31" s="1155"/>
      <c r="N31" s="1155"/>
      <c r="O31" s="1155"/>
      <c r="P31" s="649"/>
      <c r="Q31" s="1171"/>
      <c r="R31" s="1172"/>
      <c r="S31" s="1172"/>
      <c r="T31" s="1173"/>
      <c r="U31" s="1164"/>
      <c r="V31" s="1165"/>
      <c r="W31" s="1165"/>
      <c r="X31" s="1166"/>
      <c r="Y31" s="1170"/>
      <c r="Z31" s="715"/>
      <c r="AA31" s="715"/>
      <c r="AB31" s="716"/>
      <c r="AC31" s="1170"/>
      <c r="AD31" s="715"/>
      <c r="AE31" s="715"/>
      <c r="AF31" s="716"/>
      <c r="AG31" s="1170"/>
      <c r="AH31" s="715"/>
      <c r="AI31" s="715"/>
      <c r="AJ31" s="716"/>
      <c r="AK31" s="644"/>
      <c r="AL31" s="1169"/>
      <c r="AM31" s="1169"/>
      <c r="AN31" s="1169"/>
      <c r="AO31" s="1169"/>
      <c r="AP31" s="644"/>
    </row>
    <row r="32" spans="2:60" ht="34.15" customHeight="1">
      <c r="B32" s="88">
        <v>7</v>
      </c>
      <c r="C32" s="1156">
        <f>C12</f>
        <v>0</v>
      </c>
      <c r="D32" s="1156"/>
      <c r="E32" s="1156"/>
      <c r="F32" s="1156"/>
      <c r="G32" s="1156"/>
      <c r="H32" s="1099"/>
      <c r="I32" s="1099"/>
      <c r="J32" s="1099"/>
      <c r="K32" s="1099"/>
      <c r="L32" s="1155">
        <f>AC12</f>
        <v>0</v>
      </c>
      <c r="M32" s="1155"/>
      <c r="N32" s="1155"/>
      <c r="O32" s="1155"/>
      <c r="P32" s="649"/>
      <c r="Q32" s="1171"/>
      <c r="R32" s="1172"/>
      <c r="S32" s="1172"/>
      <c r="T32" s="1173"/>
      <c r="U32" s="1164"/>
      <c r="V32" s="1165"/>
      <c r="W32" s="1165"/>
      <c r="X32" s="1166"/>
      <c r="Y32" s="1170"/>
      <c r="Z32" s="715"/>
      <c r="AA32" s="715"/>
      <c r="AB32" s="716"/>
      <c r="AC32" s="1170"/>
      <c r="AD32" s="715"/>
      <c r="AE32" s="715"/>
      <c r="AF32" s="716"/>
      <c r="AG32" s="1170"/>
      <c r="AH32" s="715"/>
      <c r="AI32" s="715"/>
      <c r="AJ32" s="716"/>
      <c r="AK32" s="644"/>
      <c r="AL32" s="1169"/>
      <c r="AM32" s="1169"/>
      <c r="AN32" s="1169"/>
      <c r="AO32" s="1169"/>
      <c r="AP32" s="644"/>
    </row>
    <row r="33" spans="2:60" ht="34.15" customHeight="1">
      <c r="B33" s="88">
        <v>8</v>
      </c>
      <c r="C33" s="1156">
        <f t="shared" ref="C33" si="14">C13</f>
        <v>0</v>
      </c>
      <c r="D33" s="1156"/>
      <c r="E33" s="1156"/>
      <c r="F33" s="1156"/>
      <c r="G33" s="1156"/>
      <c r="H33" s="1099"/>
      <c r="I33" s="1099"/>
      <c r="J33" s="1099"/>
      <c r="K33" s="1099"/>
      <c r="L33" s="1155">
        <f t="shared" ref="L33" si="15">AC13</f>
        <v>0</v>
      </c>
      <c r="M33" s="1155"/>
      <c r="N33" s="1155"/>
      <c r="O33" s="1155"/>
      <c r="P33" s="649"/>
      <c r="Q33" s="1171"/>
      <c r="R33" s="1172"/>
      <c r="S33" s="1172"/>
      <c r="T33" s="1173"/>
      <c r="U33" s="1164"/>
      <c r="V33" s="1165"/>
      <c r="W33" s="1165"/>
      <c r="X33" s="1166"/>
      <c r="Y33" s="1170"/>
      <c r="Z33" s="715"/>
      <c r="AA33" s="715"/>
      <c r="AB33" s="716"/>
      <c r="AC33" s="1170"/>
      <c r="AD33" s="715"/>
      <c r="AE33" s="715"/>
      <c r="AF33" s="716"/>
      <c r="AG33" s="1170"/>
      <c r="AH33" s="715"/>
      <c r="AI33" s="715"/>
      <c r="AJ33" s="716"/>
      <c r="AK33" s="644"/>
      <c r="AL33" s="1169"/>
      <c r="AM33" s="1169"/>
      <c r="AN33" s="1169"/>
      <c r="AO33" s="1169"/>
      <c r="AP33" s="644"/>
    </row>
    <row r="34" spans="2:60" ht="25.15" customHeight="1">
      <c r="B34" s="907" t="s">
        <v>160</v>
      </c>
      <c r="C34" s="934"/>
      <c r="D34" s="934"/>
      <c r="E34" s="934"/>
      <c r="F34" s="934"/>
      <c r="G34" s="934"/>
      <c r="H34" s="934"/>
      <c r="I34" s="934"/>
      <c r="J34" s="934"/>
      <c r="K34" s="934"/>
      <c r="L34" s="934"/>
      <c r="M34" s="934"/>
      <c r="N34" s="934"/>
      <c r="O34" s="934"/>
      <c r="P34" s="934"/>
      <c r="Q34" s="934"/>
      <c r="R34" s="934"/>
      <c r="S34" s="934"/>
      <c r="T34" s="934"/>
      <c r="U34" s="934"/>
      <c r="V34" s="934"/>
      <c r="W34" s="934"/>
      <c r="X34" s="934"/>
      <c r="Y34" s="934"/>
      <c r="Z34" s="934"/>
      <c r="AA34" s="934"/>
      <c r="AB34" s="934"/>
      <c r="AC34" s="934"/>
      <c r="AD34" s="934"/>
      <c r="AE34" s="934"/>
      <c r="AF34" s="934"/>
      <c r="AG34" s="934"/>
      <c r="AH34" s="934"/>
      <c r="AI34" s="934"/>
      <c r="AJ34" s="934"/>
      <c r="AK34" s="934"/>
      <c r="AL34" s="934"/>
      <c r="AM34" s="934"/>
      <c r="AN34" s="934"/>
      <c r="AO34" s="934"/>
      <c r="AP34" s="644"/>
    </row>
    <row r="35" spans="2:60" ht="35.65" customHeight="1">
      <c r="B35" s="907" t="s">
        <v>491</v>
      </c>
      <c r="C35" s="907"/>
      <c r="D35" s="907"/>
      <c r="E35" s="907"/>
      <c r="F35" s="907"/>
      <c r="G35" s="907"/>
      <c r="H35" s="907"/>
      <c r="I35" s="907"/>
      <c r="J35" s="907"/>
      <c r="K35" s="907"/>
      <c r="L35" s="907"/>
      <c r="M35" s="907"/>
      <c r="N35" s="907"/>
      <c r="O35" s="907"/>
      <c r="P35" s="907"/>
      <c r="Q35" s="907"/>
      <c r="R35" s="907"/>
      <c r="S35" s="907"/>
      <c r="T35" s="907"/>
      <c r="U35" s="907"/>
      <c r="V35" s="907"/>
      <c r="W35" s="907"/>
      <c r="X35" s="907"/>
      <c r="Y35" s="907"/>
      <c r="Z35" s="907"/>
      <c r="AA35" s="907"/>
      <c r="AB35" s="907"/>
      <c r="AC35" s="907"/>
      <c r="AD35" s="907"/>
      <c r="AE35" s="907"/>
      <c r="AF35" s="907"/>
      <c r="AG35" s="907"/>
      <c r="AH35" s="907"/>
      <c r="AI35" s="907"/>
      <c r="AJ35" s="934"/>
      <c r="AK35" s="934"/>
      <c r="AL35" s="934"/>
      <c r="AM35" s="934"/>
      <c r="AN35" s="934"/>
      <c r="AO35" s="934"/>
      <c r="AP35" s="644"/>
    </row>
    <row r="36" spans="2:60" ht="13.15" customHeight="1">
      <c r="B36" s="907" t="s">
        <v>579</v>
      </c>
      <c r="C36" s="934"/>
      <c r="D36" s="934"/>
      <c r="E36" s="934"/>
      <c r="F36" s="934"/>
      <c r="G36" s="934"/>
      <c r="H36" s="934"/>
      <c r="I36" s="934"/>
      <c r="J36" s="934"/>
      <c r="K36" s="934"/>
      <c r="L36" s="934"/>
      <c r="M36" s="934"/>
      <c r="N36" s="934"/>
      <c r="O36" s="934"/>
      <c r="P36" s="934"/>
      <c r="Q36" s="934"/>
      <c r="R36" s="934"/>
      <c r="S36" s="934"/>
      <c r="T36" s="934"/>
      <c r="U36" s="934"/>
      <c r="V36" s="934"/>
      <c r="W36" s="934"/>
      <c r="X36" s="934"/>
      <c r="Y36" s="934"/>
      <c r="Z36" s="934"/>
      <c r="AA36" s="934"/>
      <c r="AB36" s="934"/>
      <c r="AC36" s="934"/>
      <c r="AD36" s="934"/>
      <c r="AE36" s="934"/>
      <c r="AF36" s="934"/>
      <c r="AG36" s="934"/>
      <c r="AH36" s="934"/>
      <c r="AI36" s="934"/>
      <c r="AJ36" s="934"/>
      <c r="AK36" s="934"/>
      <c r="AL36" s="934"/>
      <c r="AM36" s="934"/>
      <c r="AN36" s="934"/>
      <c r="AO36" s="934"/>
      <c r="AP36" s="644"/>
    </row>
    <row r="37" spans="2:60" ht="2.25" customHeight="1">
      <c r="B37" s="644"/>
      <c r="C37" s="644"/>
      <c r="D37" s="644"/>
      <c r="E37" s="644"/>
      <c r="F37" s="644"/>
      <c r="G37" s="644"/>
      <c r="H37" s="644"/>
      <c r="I37" s="644"/>
      <c r="J37" s="644"/>
      <c r="K37" s="644"/>
      <c r="L37" s="644"/>
      <c r="M37" s="644"/>
      <c r="N37" s="644"/>
      <c r="O37" s="644"/>
      <c r="P37" s="644"/>
      <c r="Q37" s="644"/>
      <c r="R37" s="644"/>
      <c r="S37" s="644"/>
      <c r="T37" s="644"/>
      <c r="U37" s="644"/>
      <c r="V37" s="644"/>
      <c r="W37" s="644"/>
      <c r="X37" s="644"/>
      <c r="Y37" s="644"/>
      <c r="Z37" s="644"/>
      <c r="AA37" s="644"/>
      <c r="AB37" s="644"/>
      <c r="AC37" s="644"/>
      <c r="AD37" s="644"/>
      <c r="AE37" s="644"/>
      <c r="AF37" s="644"/>
      <c r="AG37" s="644"/>
      <c r="AH37" s="644"/>
      <c r="AI37" s="644"/>
      <c r="AJ37" s="644"/>
      <c r="AK37" s="644"/>
      <c r="AL37" s="644"/>
      <c r="AM37" s="644"/>
      <c r="AN37" s="644"/>
      <c r="AO37" s="644"/>
      <c r="AP37" s="644"/>
    </row>
    <row r="42" spans="2:60" s="301" customFormat="1" ht="20.25" customHeight="1">
      <c r="B42" s="301" t="s">
        <v>530</v>
      </c>
      <c r="AD42" s="314"/>
      <c r="AE42" s="314"/>
      <c r="AF42" s="314"/>
      <c r="AG42" s="314"/>
      <c r="AH42" s="314"/>
      <c r="AI42" s="315"/>
      <c r="AJ42" s="314"/>
      <c r="AK42" s="314"/>
      <c r="AL42" s="314"/>
      <c r="AM42" s="314"/>
      <c r="AR42" s="314"/>
      <c r="AS42" s="314"/>
      <c r="AT42" s="314"/>
      <c r="AU42" s="314"/>
      <c r="AV42" s="314"/>
      <c r="AW42" s="314"/>
      <c r="AX42" s="314"/>
      <c r="AY42" s="314"/>
      <c r="AZ42" s="314"/>
      <c r="BA42" s="314"/>
      <c r="BB42" s="314"/>
      <c r="BC42" s="314"/>
      <c r="BD42" s="314"/>
      <c r="BE42" s="314"/>
      <c r="BF42" s="314"/>
      <c r="BG42" s="314"/>
      <c r="BH42" s="314"/>
    </row>
    <row r="43" spans="2:60" s="316" customFormat="1" ht="20.25" customHeight="1">
      <c r="C43" s="316" t="s">
        <v>532</v>
      </c>
      <c r="AD43" s="317"/>
      <c r="AE43" s="317"/>
      <c r="AF43" s="317"/>
      <c r="AG43" s="317"/>
      <c r="AH43" s="317"/>
      <c r="AI43" s="318"/>
      <c r="AJ43" s="317"/>
      <c r="AK43" s="317"/>
      <c r="AL43" s="317"/>
      <c r="AM43" s="317"/>
      <c r="AR43" s="317"/>
      <c r="AS43" s="317"/>
      <c r="AT43" s="317"/>
      <c r="AU43" s="317"/>
      <c r="AV43" s="317"/>
      <c r="AW43" s="317"/>
      <c r="AX43" s="317"/>
      <c r="AY43" s="317"/>
      <c r="AZ43" s="317"/>
      <c r="BA43" s="317"/>
      <c r="BB43" s="317"/>
      <c r="BC43" s="317"/>
      <c r="BD43" s="317"/>
      <c r="BE43" s="317"/>
      <c r="BF43" s="317"/>
      <c r="BG43" s="317"/>
      <c r="BH43" s="317"/>
    </row>
    <row r="44" spans="2:60" s="301" customFormat="1" ht="8.25" customHeight="1">
      <c r="AD44" s="314"/>
      <c r="AE44" s="314"/>
      <c r="AF44" s="314"/>
      <c r="AG44" s="314"/>
      <c r="AH44" s="314"/>
      <c r="AI44" s="315"/>
      <c r="AJ44" s="314"/>
      <c r="AK44" s="314"/>
      <c r="AL44" s="314"/>
      <c r="AM44" s="314"/>
      <c r="AR44" s="314"/>
      <c r="AS44" s="314"/>
      <c r="AT44" s="314"/>
      <c r="AU44" s="314"/>
      <c r="AV44" s="314"/>
      <c r="AW44" s="314"/>
      <c r="AX44" s="314"/>
      <c r="AY44" s="314"/>
      <c r="AZ44" s="314"/>
      <c r="BA44" s="314"/>
      <c r="BB44" s="314"/>
      <c r="BC44" s="314"/>
      <c r="BD44" s="314"/>
      <c r="BE44" s="314"/>
      <c r="BF44" s="314"/>
      <c r="BG44" s="314"/>
      <c r="BH44" s="314"/>
    </row>
    <row r="45" spans="2:60" ht="8.25" customHeight="1"/>
    <row r="46" spans="2:60">
      <c r="C46" s="645" t="s">
        <v>445</v>
      </c>
      <c r="L46" s="645">
        <v>2</v>
      </c>
      <c r="O46" s="56" t="s">
        <v>1020</v>
      </c>
    </row>
    <row r="47" spans="2:60">
      <c r="C47" s="645" t="s">
        <v>390</v>
      </c>
      <c r="L47" s="645">
        <v>3</v>
      </c>
      <c r="O47" s="56" t="s">
        <v>1113</v>
      </c>
    </row>
    <row r="48" spans="2:60">
      <c r="C48" s="645" t="s">
        <v>576</v>
      </c>
      <c r="L48" s="645">
        <v>4</v>
      </c>
      <c r="O48" s="56" t="s">
        <v>1114</v>
      </c>
      <c r="T48" s="62"/>
    </row>
    <row r="49" spans="3:20">
      <c r="C49" s="645" t="s">
        <v>577</v>
      </c>
      <c r="L49" s="645">
        <v>5</v>
      </c>
      <c r="O49" s="56" t="s">
        <v>1115</v>
      </c>
    </row>
    <row r="50" spans="3:20">
      <c r="L50" s="645">
        <v>6</v>
      </c>
      <c r="O50" s="56" t="s">
        <v>1116</v>
      </c>
    </row>
    <row r="51" spans="3:20">
      <c r="L51" s="645">
        <v>7</v>
      </c>
      <c r="O51" s="56" t="s">
        <v>1117</v>
      </c>
    </row>
    <row r="52" spans="3:20">
      <c r="L52" s="645">
        <v>8</v>
      </c>
      <c r="O52" s="56" t="s">
        <v>1118</v>
      </c>
      <c r="T52" s="62" t="s">
        <v>409</v>
      </c>
    </row>
    <row r="53" spans="3:20">
      <c r="L53" s="645">
        <v>9</v>
      </c>
      <c r="O53" s="56" t="s">
        <v>1127</v>
      </c>
    </row>
    <row r="54" spans="3:20">
      <c r="L54" s="645">
        <v>10</v>
      </c>
      <c r="O54" s="56" t="s">
        <v>1128</v>
      </c>
    </row>
    <row r="55" spans="3:20">
      <c r="L55" s="645">
        <v>11</v>
      </c>
      <c r="O55" s="56" t="s">
        <v>1129</v>
      </c>
    </row>
    <row r="56" spans="3:20">
      <c r="L56" s="645">
        <v>12</v>
      </c>
      <c r="O56" s="56" t="s">
        <v>1130</v>
      </c>
    </row>
    <row r="57" spans="3:20">
      <c r="L57" s="645">
        <v>13</v>
      </c>
      <c r="O57" s="56" t="s">
        <v>1131</v>
      </c>
    </row>
    <row r="58" spans="3:20">
      <c r="L58" s="645">
        <v>14</v>
      </c>
      <c r="O58" s="56" t="s">
        <v>1132</v>
      </c>
    </row>
    <row r="59" spans="3:20">
      <c r="L59" s="645">
        <v>15</v>
      </c>
      <c r="O59" s="56" t="s">
        <v>1214</v>
      </c>
    </row>
    <row r="60" spans="3:20">
      <c r="L60" s="645">
        <v>16</v>
      </c>
      <c r="O60" s="56" t="s">
        <v>1213</v>
      </c>
    </row>
    <row r="61" spans="3:20">
      <c r="L61" s="645">
        <v>17</v>
      </c>
      <c r="O61" s="56" t="s">
        <v>1215</v>
      </c>
    </row>
    <row r="62" spans="3:20">
      <c r="L62" s="645">
        <v>18</v>
      </c>
      <c r="O62" s="56" t="s">
        <v>1179</v>
      </c>
    </row>
    <row r="63" spans="3:20">
      <c r="L63" s="645">
        <v>19</v>
      </c>
      <c r="O63" s="56" t="s">
        <v>1180</v>
      </c>
    </row>
    <row r="64" spans="3:20">
      <c r="L64" s="645">
        <v>20</v>
      </c>
      <c r="O64" s="56" t="s">
        <v>1181</v>
      </c>
    </row>
    <row r="65" spans="12:15">
      <c r="L65" s="645">
        <v>21</v>
      </c>
      <c r="O65" s="56" t="s">
        <v>1209</v>
      </c>
    </row>
    <row r="66" spans="12:15">
      <c r="L66" s="645">
        <v>22</v>
      </c>
      <c r="O66" s="56" t="s">
        <v>1210</v>
      </c>
    </row>
    <row r="67" spans="12:15">
      <c r="L67" s="645">
        <v>23</v>
      </c>
      <c r="O67" s="56" t="s">
        <v>1211</v>
      </c>
    </row>
    <row r="68" spans="12:15">
      <c r="L68" s="645">
        <v>24</v>
      </c>
      <c r="O68" s="56" t="s">
        <v>1212</v>
      </c>
    </row>
    <row r="69" spans="12:15">
      <c r="L69" s="645">
        <v>25</v>
      </c>
      <c r="O69" s="56" t="s">
        <v>1208</v>
      </c>
    </row>
    <row r="70" spans="12:15">
      <c r="O70" s="56"/>
    </row>
  </sheetData>
  <sheetProtection sheet="1" objects="1" scenarios="1"/>
  <mergeCells count="206">
    <mergeCell ref="AV18:AW18"/>
    <mergeCell ref="AB2:AO2"/>
    <mergeCell ref="Y2:AA2"/>
    <mergeCell ref="AE3:AJ3"/>
    <mergeCell ref="AG14:AO15"/>
    <mergeCell ref="AG16:AO16"/>
    <mergeCell ref="AG17:AO17"/>
    <mergeCell ref="AZ14:AZ17"/>
    <mergeCell ref="BA14:BA17"/>
    <mergeCell ref="BB14:BB17"/>
    <mergeCell ref="W11:Z11"/>
    <mergeCell ref="AA11:AB11"/>
    <mergeCell ref="AC11:AF11"/>
    <mergeCell ref="AG11:AK11"/>
    <mergeCell ref="AA5:AB5"/>
    <mergeCell ref="AC5:AF5"/>
    <mergeCell ref="AG5:AK5"/>
    <mergeCell ref="AL5:AO5"/>
    <mergeCell ref="AA7:AB7"/>
    <mergeCell ref="AC7:AF7"/>
    <mergeCell ref="AL7:AO7"/>
    <mergeCell ref="W12:Z12"/>
    <mergeCell ref="AG12:AK12"/>
    <mergeCell ref="AG6:AK6"/>
    <mergeCell ref="AG10:AK10"/>
    <mergeCell ref="AG7:AK7"/>
    <mergeCell ref="AA12:AB12"/>
    <mergeCell ref="AC12:AF12"/>
    <mergeCell ref="BC14:BC17"/>
    <mergeCell ref="AY14:AY17"/>
    <mergeCell ref="AS14:AS17"/>
    <mergeCell ref="AT14:AT17"/>
    <mergeCell ref="AU14:AU17"/>
    <mergeCell ref="AV14:AV17"/>
    <mergeCell ref="AW14:AW17"/>
    <mergeCell ref="B34:AO34"/>
    <mergeCell ref="AG27:AJ27"/>
    <mergeCell ref="AG28:AJ28"/>
    <mergeCell ref="AG29:AJ29"/>
    <mergeCell ref="AG30:AJ30"/>
    <mergeCell ref="AG31:AJ31"/>
    <mergeCell ref="AG32:AJ32"/>
    <mergeCell ref="AG33:AJ33"/>
    <mergeCell ref="P24:P25"/>
    <mergeCell ref="Y27:AB27"/>
    <mergeCell ref="Y28:AB28"/>
    <mergeCell ref="Y29:AB29"/>
    <mergeCell ref="Y30:AB30"/>
    <mergeCell ref="Y31:AB31"/>
    <mergeCell ref="Y32:AB32"/>
    <mergeCell ref="Y33:AB33"/>
    <mergeCell ref="AC26:AF26"/>
    <mergeCell ref="AL26:AO26"/>
    <mergeCell ref="AC27:AF27"/>
    <mergeCell ref="AC28:AF28"/>
    <mergeCell ref="AC29:AF29"/>
    <mergeCell ref="AC30:AF30"/>
    <mergeCell ref="AC31:AF31"/>
    <mergeCell ref="AC32:AF32"/>
    <mergeCell ref="AC33:AF33"/>
    <mergeCell ref="Q27:T27"/>
    <mergeCell ref="Q28:T28"/>
    <mergeCell ref="Q29:T29"/>
    <mergeCell ref="Q30:T30"/>
    <mergeCell ref="Q31:T31"/>
    <mergeCell ref="Q32:T32"/>
    <mergeCell ref="Q33:T33"/>
    <mergeCell ref="Q26:T26"/>
    <mergeCell ref="Y26:AB26"/>
    <mergeCell ref="AG26:AJ26"/>
    <mergeCell ref="U26:X26"/>
    <mergeCell ref="U27:X27"/>
    <mergeCell ref="U28:X28"/>
    <mergeCell ref="U29:X29"/>
    <mergeCell ref="U30:X30"/>
    <mergeCell ref="U31:X31"/>
    <mergeCell ref="B35:AO35"/>
    <mergeCell ref="B36:AO36"/>
    <mergeCell ref="C33:G33"/>
    <mergeCell ref="H33:K33"/>
    <mergeCell ref="L33:O33"/>
    <mergeCell ref="C32:G32"/>
    <mergeCell ref="H32:K32"/>
    <mergeCell ref="L32:O32"/>
    <mergeCell ref="C31:G31"/>
    <mergeCell ref="H31:K31"/>
    <mergeCell ref="L31:O31"/>
    <mergeCell ref="U32:X32"/>
    <mergeCell ref="U33:X33"/>
    <mergeCell ref="AL27:AO33"/>
    <mergeCell ref="C30:G30"/>
    <mergeCell ref="H30:K30"/>
    <mergeCell ref="L30:O30"/>
    <mergeCell ref="C29:G29"/>
    <mergeCell ref="H29:K29"/>
    <mergeCell ref="L29:O29"/>
    <mergeCell ref="C27:G27"/>
    <mergeCell ref="C28:G28"/>
    <mergeCell ref="H28:K28"/>
    <mergeCell ref="L28:O28"/>
    <mergeCell ref="H27:K27"/>
    <mergeCell ref="L27:O27"/>
    <mergeCell ref="H26:K26"/>
    <mergeCell ref="L26:O26"/>
    <mergeCell ref="C26:G26"/>
    <mergeCell ref="H25:K25"/>
    <mergeCell ref="L25:O25"/>
    <mergeCell ref="H24:O24"/>
    <mergeCell ref="AL12:AO12"/>
    <mergeCell ref="C13:G13"/>
    <mergeCell ref="H13:K13"/>
    <mergeCell ref="L13:O13"/>
    <mergeCell ref="P13:S13"/>
    <mergeCell ref="T13:U13"/>
    <mergeCell ref="W13:Z13"/>
    <mergeCell ref="AA13:AB13"/>
    <mergeCell ref="AC13:AF13"/>
    <mergeCell ref="AG13:AK13"/>
    <mergeCell ref="AL13:AO13"/>
    <mergeCell ref="C12:G12"/>
    <mergeCell ref="H12:K12"/>
    <mergeCell ref="L12:O12"/>
    <mergeCell ref="P12:S12"/>
    <mergeCell ref="T12:U12"/>
    <mergeCell ref="AL24:AO25"/>
    <mergeCell ref="AL9:AO9"/>
    <mergeCell ref="P8:S8"/>
    <mergeCell ref="T8:U8"/>
    <mergeCell ref="AL10:AO10"/>
    <mergeCell ref="AL11:AO11"/>
    <mergeCell ref="T14:V17"/>
    <mergeCell ref="P16:S16"/>
    <mergeCell ref="AC14:AF15"/>
    <mergeCell ref="W14:AB15"/>
    <mergeCell ref="W16:AB16"/>
    <mergeCell ref="W17:AB17"/>
    <mergeCell ref="AC16:AF16"/>
    <mergeCell ref="AC17:AF17"/>
    <mergeCell ref="Q24:X24"/>
    <mergeCell ref="Q25:T25"/>
    <mergeCell ref="U25:X25"/>
    <mergeCell ref="Y24:AB25"/>
    <mergeCell ref="AC24:AF25"/>
    <mergeCell ref="AG24:AJ25"/>
    <mergeCell ref="AG8:AK8"/>
    <mergeCell ref="AG9:AK9"/>
    <mergeCell ref="AA10:AB10"/>
    <mergeCell ref="AC10:AF10"/>
    <mergeCell ref="C11:G11"/>
    <mergeCell ref="H11:K11"/>
    <mergeCell ref="L11:O11"/>
    <mergeCell ref="P11:S11"/>
    <mergeCell ref="T11:U11"/>
    <mergeCell ref="AA8:AB8"/>
    <mergeCell ref="AC8:AF8"/>
    <mergeCell ref="AL8:AO8"/>
    <mergeCell ref="AG1:AP1"/>
    <mergeCell ref="P9:S9"/>
    <mergeCell ref="T9:U9"/>
    <mergeCell ref="AA9:AB9"/>
    <mergeCell ref="AC9:AF9"/>
    <mergeCell ref="P6:S6"/>
    <mergeCell ref="AA6:AB6"/>
    <mergeCell ref="AC6:AF6"/>
    <mergeCell ref="AL6:AO6"/>
    <mergeCell ref="C6:G6"/>
    <mergeCell ref="C10:G10"/>
    <mergeCell ref="H7:K7"/>
    <mergeCell ref="H8:K8"/>
    <mergeCell ref="H9:K9"/>
    <mergeCell ref="H6:K6"/>
    <mergeCell ref="H10:K10"/>
    <mergeCell ref="B24:B25"/>
    <mergeCell ref="C5:G5"/>
    <mergeCell ref="H5:K5"/>
    <mergeCell ref="L5:O5"/>
    <mergeCell ref="P5:S5"/>
    <mergeCell ref="T5:V5"/>
    <mergeCell ref="W5:Z5"/>
    <mergeCell ref="T6:U6"/>
    <mergeCell ref="P7:S7"/>
    <mergeCell ref="T7:U7"/>
    <mergeCell ref="L14:O14"/>
    <mergeCell ref="L15:O15"/>
    <mergeCell ref="L17:O17"/>
    <mergeCell ref="P14:S14"/>
    <mergeCell ref="P15:S15"/>
    <mergeCell ref="P17:S17"/>
    <mergeCell ref="B14:K17"/>
    <mergeCell ref="C24:G25"/>
    <mergeCell ref="L16:O16"/>
    <mergeCell ref="P10:S10"/>
    <mergeCell ref="T10:U10"/>
    <mergeCell ref="C7:G7"/>
    <mergeCell ref="C8:G8"/>
    <mergeCell ref="C9:G9"/>
    <mergeCell ref="L7:O7"/>
    <mergeCell ref="L8:O8"/>
    <mergeCell ref="L9:O9"/>
    <mergeCell ref="L6:O6"/>
    <mergeCell ref="L10:O10"/>
    <mergeCell ref="W7:Z7"/>
    <mergeCell ref="W8:Z8"/>
    <mergeCell ref="W9:Z9"/>
    <mergeCell ref="W6:Z6"/>
    <mergeCell ref="W10:Z10"/>
  </mergeCells>
  <phoneticPr fontId="1"/>
  <conditionalFormatting sqref="C6:G13">
    <cfRule type="expression" dxfId="242" priority="42">
      <formula>$C$6=""</formula>
    </cfRule>
  </conditionalFormatting>
  <conditionalFormatting sqref="C26:G33">
    <cfRule type="expression" dxfId="241" priority="31">
      <formula>$C$6=""</formula>
    </cfRule>
  </conditionalFormatting>
  <conditionalFormatting sqref="H6:K13">
    <cfRule type="expression" dxfId="240" priority="41">
      <formula>$H$6=""</formula>
    </cfRule>
  </conditionalFormatting>
  <conditionalFormatting sqref="H26:K33">
    <cfRule type="expression" dxfId="239" priority="34">
      <formula>$H$26=""</formula>
    </cfRule>
  </conditionalFormatting>
  <conditionalFormatting sqref="L6:O13">
    <cfRule type="expression" dxfId="238" priority="40">
      <formula>$L$6=""</formula>
    </cfRule>
  </conditionalFormatting>
  <conditionalFormatting sqref="L14:O17">
    <cfRule type="expression" dxfId="237" priority="13">
      <formula>P14=0</formula>
    </cfRule>
  </conditionalFormatting>
  <conditionalFormatting sqref="L26:O33">
    <cfRule type="expression" dxfId="236" priority="33">
      <formula>$L$26=0</formula>
    </cfRule>
  </conditionalFormatting>
  <conditionalFormatting sqref="P6:S13">
    <cfRule type="expression" dxfId="235" priority="39">
      <formula>$P$6=""</formula>
    </cfRule>
  </conditionalFormatting>
  <conditionalFormatting sqref="P14:S17">
    <cfRule type="expression" dxfId="234" priority="27">
      <formula>P14=0</formula>
    </cfRule>
  </conditionalFormatting>
  <conditionalFormatting sqref="P26:T33">
    <cfRule type="expression" dxfId="233" priority="30">
      <formula>AND($P$26="",$Q$26="")</formula>
    </cfRule>
  </conditionalFormatting>
  <conditionalFormatting sqref="T6:U13">
    <cfRule type="expression" dxfId="232" priority="38">
      <formula>$T$6=""</formula>
    </cfRule>
  </conditionalFormatting>
  <conditionalFormatting sqref="U26:X33">
    <cfRule type="expression" dxfId="231" priority="29">
      <formula>AND($P$26="",$U$26="")</formula>
    </cfRule>
  </conditionalFormatting>
  <conditionalFormatting sqref="W6:Z13 AL6:AO13">
    <cfRule type="expression" dxfId="230" priority="37">
      <formula>$W$6=""</formula>
    </cfRule>
  </conditionalFormatting>
  <conditionalFormatting sqref="W6:Z13">
    <cfRule type="expression" dxfId="229" priority="1">
      <formula>BF6="ｿﾌﾄｳｪｱ申請額下限額未満"</formula>
    </cfRule>
  </conditionalFormatting>
  <conditionalFormatting sqref="W14:AB17">
    <cfRule type="expression" dxfId="228" priority="12">
      <formula>AC14=0</formula>
    </cfRule>
  </conditionalFormatting>
  <conditionalFormatting sqref="W16:AB16">
    <cfRule type="expression" dxfId="227" priority="18">
      <formula>AG16="ｿﾌﾄｳｪｱ申請額下限額未満"</formula>
    </cfRule>
    <cfRule type="expression" dxfId="226" priority="19">
      <formula>AG16="ｿﾌﾄｳｪｱ申請額下限額未満"</formula>
    </cfRule>
  </conditionalFormatting>
  <conditionalFormatting sqref="W17:AB17">
    <cfRule type="expression" dxfId="225" priority="15">
      <formula>AG17="ソフトウエアＢは購入不可"</formula>
    </cfRule>
  </conditionalFormatting>
  <conditionalFormatting sqref="Y26:Y33 AC26:AC33 AG26:AG33">
    <cfRule type="expression" dxfId="224" priority="28">
      <formula>$Y$26=""</formula>
    </cfRule>
  </conditionalFormatting>
  <conditionalFormatting sqref="Y3:AE3">
    <cfRule type="containsText" dxfId="223" priority="44" operator="containsText" text="★助成対象経費 金額不一致NG : (申請設備)ｼｰﾄの助成対象経費とこのｼｰﾄの助成対象経費合計金額を確認のこと">
      <formula>NOT(ISERROR(SEARCH("★助成対象経費 金額不一致NG : (申請設備)ｼｰﾄの助成対象経費とこのｼｰﾄの助成対象経費合計金額を確認のこと",Y3)))</formula>
    </cfRule>
    <cfRule type="containsText" dxfId="222" priority="43" operator="containsText" text="★助成対象経費 金額不一致NG : (申請設備)ｼｰﾄの助成対象経費とこのｼｰﾄの助成対象経費合計金額を一致させること">
      <formula>NOT(ISERROR(SEARCH("★助成対象経費 金額不一致NG : (申請設備)ｼｰﾄの助成対象経費とこのｼｰﾄの助成対象経費合計金額を一致させること",Y3)))</formula>
    </cfRule>
  </conditionalFormatting>
  <conditionalFormatting sqref="AA6:AB13">
    <cfRule type="expression" dxfId="221" priority="36">
      <formula>$AA$6=""</formula>
    </cfRule>
  </conditionalFormatting>
  <conditionalFormatting sqref="AB2:AO2">
    <cfRule type="expression" dxfId="220" priority="24">
      <formula>AB2=""</formula>
    </cfRule>
  </conditionalFormatting>
  <conditionalFormatting sqref="AC14 AC6:AF13">
    <cfRule type="expression" dxfId="219" priority="32" stopIfTrue="1">
      <formula>$AC$6=0</formula>
    </cfRule>
  </conditionalFormatting>
  <conditionalFormatting sqref="AC16">
    <cfRule type="expression" dxfId="218" priority="26" stopIfTrue="1">
      <formula>AC16=0</formula>
    </cfRule>
  </conditionalFormatting>
  <conditionalFormatting sqref="AC17">
    <cfRule type="expression" dxfId="217" priority="25" stopIfTrue="1">
      <formula>$AC$17=0</formula>
    </cfRule>
  </conditionalFormatting>
  <conditionalFormatting sqref="AC14:AF15">
    <cfRule type="expression" dxfId="216" priority="14">
      <formula>AC14=0</formula>
    </cfRule>
  </conditionalFormatting>
  <conditionalFormatting sqref="AC16:AF16">
    <cfRule type="expression" dxfId="215" priority="21">
      <formula>AG16="ｿﾌﾄｳｪｱ申請額下限額未満"</formula>
    </cfRule>
    <cfRule type="expression" dxfId="214" priority="20">
      <formula>AG16="ｿﾌﾄｳｪｱ申請額下限額未満"</formula>
    </cfRule>
  </conditionalFormatting>
  <conditionalFormatting sqref="AC17:AF17">
    <cfRule type="expression" dxfId="213" priority="16">
      <formula>AG17="ソフトウエアＢは購入不可"</formula>
    </cfRule>
  </conditionalFormatting>
  <conditionalFormatting sqref="AG6:AK13">
    <cfRule type="expression" dxfId="212" priority="35">
      <formula>$AG$6=""</formula>
    </cfRule>
  </conditionalFormatting>
  <conditionalFormatting sqref="AG16:AO16">
    <cfRule type="expression" dxfId="211" priority="23">
      <formula>AG16="ｿﾌﾄｳｪｱ申請額下限額未満"</formula>
    </cfRule>
    <cfRule type="expression" dxfId="210" priority="22">
      <formula>AG16="ｿﾌﾄｳｪｱ申請額下限額未満"</formula>
    </cfRule>
    <cfRule type="expression" dxfId="209" priority="11">
      <formula>AC17=0</formula>
    </cfRule>
  </conditionalFormatting>
  <conditionalFormatting sqref="AG16:AO17">
    <cfRule type="expression" dxfId="208" priority="10">
      <formula>AC16=0</formula>
    </cfRule>
  </conditionalFormatting>
  <conditionalFormatting sqref="AG17:AO17">
    <cfRule type="expression" dxfId="207" priority="17">
      <formula>AG17="ソフトウエアＢは購入不可"</formula>
    </cfRule>
  </conditionalFormatting>
  <conditionalFormatting sqref="AL26">
    <cfRule type="expression" dxfId="206" priority="9">
      <formula>$Y$26=""</formula>
    </cfRule>
  </conditionalFormatting>
  <dataValidations xWindow="1113" yWindow="1083" count="11">
    <dataValidation imeMode="on" allowBlank="1" showInputMessage="1" showErrorMessage="1" sqref="H26:K33 Q26:T33 AG6:AK13 C6:K13" xr:uid="{00000000-0002-0000-0400-000000000000}"/>
    <dataValidation imeMode="off" allowBlank="1" showInputMessage="1" showErrorMessage="1" sqref="U26:X33 L6:O13 AA6:AB13" xr:uid="{00000000-0002-0000-0400-000001000000}"/>
    <dataValidation allowBlank="1" showInputMessage="1" showErrorMessage="1" promptTitle="入力不要" prompt="上記表への入力結果が自動で反映されます" sqref="P14:S17" xr:uid="{00000000-0002-0000-0400-000002000000}"/>
    <dataValidation allowBlank="1" showInputMessage="1" showErrorMessage="1" promptTitle="入力不要" prompt="上記表への入力結果が自動計算され反映されます" sqref="W14 W16:W17 AC14 AC16:AC17" xr:uid="{00000000-0002-0000-0400-000003000000}"/>
    <dataValidation allowBlank="1" showInputMessage="1" showErrorMessage="1" promptTitle="入力不要" prompt="「（１）機械設備一覧表」の入力結果が自動反映されます" sqref="C26:G33 L26:O33" xr:uid="{00000000-0002-0000-0400-000004000000}"/>
    <dataValidation allowBlank="1" showInputMessage="1" showErrorMessage="1" promptTitle="選択不要" prompt="申請書で選択した [申請者区分]が転記されます" sqref="AB2:AO2" xr:uid="{00000000-0002-0000-0400-000005000000}"/>
    <dataValidation type="list" allowBlank="1" showInputMessage="1" showErrorMessage="1" sqref="P6:S13" xr:uid="{00000000-0002-0000-0400-000006000000}">
      <formula1>$C$45:$C$49</formula1>
    </dataValidation>
    <dataValidation type="list" allowBlank="1" showInputMessage="1" showErrorMessage="1" sqref="T6:U13" xr:uid="{00000000-0002-0000-0400-000007000000}">
      <formula1>$L$45:$L$69</formula1>
    </dataValidation>
    <dataValidation type="whole" imeMode="off" operator="greaterThanOrEqual" allowBlank="1" showInputMessage="1" showErrorMessage="1" errorTitle="１基当たりの下限額を下回っています" error="１基あたり50万円（税抜き）以上となる必要があります" sqref="W6:Z13" xr:uid="{00000000-0002-0000-0400-000008000000}">
      <formula1>500000</formula1>
    </dataValidation>
    <dataValidation type="list" allowBlank="1" showInputMessage="1" showErrorMessage="1" sqref="P26:P33" xr:uid="{00000000-0002-0000-0400-000009000000}">
      <formula1>$T$46:$T$52</formula1>
    </dataValidation>
    <dataValidation type="list" allowBlank="1" showInputMessage="1" showErrorMessage="1" sqref="Y26:AJ33 AL26:AO26" xr:uid="{00000000-0002-0000-0400-00000A000000}">
      <formula1>$O$52:$O$69</formula1>
    </dataValidation>
  </dataValidations>
  <pageMargins left="0.70866141732283472" right="0.51181102362204722" top="0.74803149606299213" bottom="0.55118110236220474" header="0.31496062992125984" footer="0.31496062992125984"/>
  <pageSetup paperSize="9" orientation="landscape" useFirstPageNumber="1" r:id="rId1"/>
  <headerFooter>
    <oddFooter>&amp;C3 - &amp;P</oddFooter>
  </headerFooter>
  <rowBreaks count="1" manualBreakCount="1">
    <brk id="21"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filterMode="1">
    <tabColor rgb="FFFFCCFF"/>
    <pageSetUpPr fitToPage="1"/>
  </sheetPr>
  <dimension ref="B1:AN220"/>
  <sheetViews>
    <sheetView showGridLines="0" view="pageBreakPreview" zoomScaleNormal="90" zoomScaleSheetLayoutView="100" workbookViewId="0"/>
  </sheetViews>
  <sheetFormatPr defaultColWidth="9" defaultRowHeight="13"/>
  <cols>
    <col min="1" max="1" width="1.75" style="212" customWidth="1"/>
    <col min="2" max="2" width="4.5" style="213" customWidth="1"/>
    <col min="3" max="20" width="4.58203125" style="213" customWidth="1"/>
    <col min="21" max="21" width="0.58203125" style="214" customWidth="1"/>
    <col min="22" max="22" width="2.75" style="479" customWidth="1"/>
    <col min="23" max="23" width="14" style="491" customWidth="1"/>
    <col min="24" max="24" width="13" style="492" customWidth="1"/>
    <col min="25" max="25" width="2.75" style="492" customWidth="1"/>
    <col min="26" max="26" width="15.75" style="492" customWidth="1"/>
    <col min="27" max="29" width="14.5" style="492" customWidth="1"/>
    <col min="30" max="30" width="15.33203125" style="492" customWidth="1"/>
    <col min="31" max="32" width="18.33203125" style="492" customWidth="1"/>
    <col min="33" max="33" width="18.33203125" style="479" customWidth="1"/>
    <col min="34" max="34" width="22.6640625" style="479" customWidth="1"/>
    <col min="35" max="35" width="23.4140625" style="479" customWidth="1"/>
    <col min="36" max="64" width="4.58203125" style="212" customWidth="1"/>
    <col min="65" max="16384" width="9" style="212"/>
  </cols>
  <sheetData>
    <row r="1" spans="2:35" ht="10.5" customHeight="1">
      <c r="N1" s="1208">
        <f>申請書!Q12</f>
        <v>0</v>
      </c>
      <c r="O1" s="1209"/>
      <c r="P1" s="1209"/>
      <c r="Q1" s="1209"/>
      <c r="R1" s="1209"/>
      <c r="S1" s="1209"/>
      <c r="T1" s="1209"/>
      <c r="U1" s="1209"/>
      <c r="W1" s="319"/>
      <c r="X1" s="479"/>
      <c r="Y1" s="479"/>
      <c r="Z1" s="479"/>
      <c r="AA1" s="479" t="s">
        <v>1003</v>
      </c>
      <c r="AB1" s="479" t="s">
        <v>1004</v>
      </c>
      <c r="AC1" s="479" t="s">
        <v>1005</v>
      </c>
      <c r="AD1" s="479" t="s">
        <v>1006</v>
      </c>
      <c r="AE1" s="479" t="s">
        <v>1008</v>
      </c>
      <c r="AF1" s="479" t="s">
        <v>1009</v>
      </c>
    </row>
    <row r="2" spans="2:35" ht="16.5" customHeight="1">
      <c r="B2" s="215">
        <v>14</v>
      </c>
      <c r="C2" s="216" t="s">
        <v>161</v>
      </c>
      <c r="D2" s="216"/>
      <c r="E2" s="216"/>
      <c r="F2" s="216"/>
      <c r="G2" s="216"/>
      <c r="H2" s="217"/>
      <c r="I2" s="217"/>
      <c r="W2" s="319" t="s">
        <v>931</v>
      </c>
      <c r="X2" s="479"/>
      <c r="Y2" s="479"/>
      <c r="Z2" s="498" t="s">
        <v>999</v>
      </c>
      <c r="AA2" s="499">
        <f>MIN(ROUNDDOWN(($M$19*3/4),-3),100000000)</f>
        <v>0</v>
      </c>
      <c r="AB2" s="498">
        <f>MIN(ROUNDDOWN(($M$19*1/2),-3),100000000)</f>
        <v>0</v>
      </c>
      <c r="AC2" s="498">
        <f>IF(M20=0,0,IF(MIN(ROUNDDOWN(($M$20*3/4),-3),10000000)&lt;=3000000,"下限額未満",MIN(ROUNDDOWN(($M$20*3/4),-3),10000000)))</f>
        <v>0</v>
      </c>
      <c r="AD2" s="498">
        <f>IF(機械設備計画!AG16="ｿﾌﾄｳｪｱ申請額下限額未満","下限額未満",MIN(ROUNDDOWN(($M$20*1/2),-3),10000000))</f>
        <v>0</v>
      </c>
      <c r="AE2" s="479" t="str">
        <f>IF(MIN((AA2+AC2),100000000)&lt;=1000000,"下限額未満",MIN((AA2+AC2),100000000))</f>
        <v>下限額未満</v>
      </c>
      <c r="AF2" s="479" t="str">
        <f>IF(MIN((AB2+AD2),100000000)&lt;=1000000,"下限額未満",MIN((AB2+AD2),100000000))</f>
        <v>下限額未満</v>
      </c>
    </row>
    <row r="3" spans="2:35" ht="21" customHeight="1" thickBot="1">
      <c r="B3" s="1229" t="s">
        <v>1069</v>
      </c>
      <c r="C3" s="1229"/>
      <c r="D3" s="1229"/>
      <c r="E3" s="1229"/>
      <c r="F3" s="1229"/>
      <c r="G3" s="1229"/>
      <c r="H3" s="1229"/>
      <c r="I3" s="1229"/>
      <c r="J3" s="1229"/>
      <c r="K3" s="1229"/>
      <c r="L3" s="1229"/>
      <c r="M3" s="1229"/>
      <c r="N3" s="1229"/>
      <c r="O3" s="1229"/>
      <c r="P3" s="1229"/>
      <c r="Q3" s="1229"/>
      <c r="R3" s="1229"/>
      <c r="S3" s="1229"/>
      <c r="T3" s="1229"/>
      <c r="U3" s="1229"/>
      <c r="V3" s="1229"/>
      <c r="W3" s="313" t="s">
        <v>957</v>
      </c>
      <c r="X3" s="479"/>
      <c r="Y3" s="479"/>
      <c r="Z3" s="304" t="s">
        <v>1000</v>
      </c>
      <c r="AA3" s="499">
        <f>MIN(ROUNDDOWN(($M$19*3/4),-3),100000000)</f>
        <v>0</v>
      </c>
      <c r="AB3" s="498">
        <f>MIN(ROUNDDOWN(($M$19*3/4),-3),100000000)</f>
        <v>0</v>
      </c>
      <c r="AC3" s="498">
        <f>IF(M20=0,0,IF(MIN(ROUNDDOWN(($M$20*3/4),-3),10000000)&lt;=3000000,"下限額未満",MIN(ROUNDDOWN(($M$20*3/4),-3),10000000)))</f>
        <v>0</v>
      </c>
      <c r="AD3" s="498">
        <f>IF(機械設備計画!AG16="ｿﾌﾄｳｪｱ申請額下限額未満","下限額未満",MIN(ROUNDDOWN(($M$20*3/4),-3),10000000))</f>
        <v>0</v>
      </c>
      <c r="AE3" s="479" t="str">
        <f t="shared" ref="AE3:AE5" si="0">IF(MIN((AA3+AC3),100000000)&lt;=1000000,"下限額未満",MIN((AA3+AC3),100000000))</f>
        <v>下限額未満</v>
      </c>
      <c r="AF3" s="479" t="str">
        <f t="shared" ref="AF3:AF5" si="1">IF(MIN((AB3+AD3),100000000)&lt;=1000000,"下限額未満",MIN((AB3+AD3),100000000))</f>
        <v>下限額未満</v>
      </c>
    </row>
    <row r="4" spans="2:35" ht="16.149999999999999" customHeight="1" thickTop="1" thickBot="1">
      <c r="B4" s="218" t="s">
        <v>417</v>
      </c>
      <c r="C4" s="249" t="s">
        <v>593</v>
      </c>
      <c r="D4" s="219"/>
      <c r="E4" s="219"/>
      <c r="F4" s="219"/>
      <c r="G4" s="219"/>
      <c r="H4" s="219"/>
      <c r="I4" s="219"/>
      <c r="J4" s="220"/>
      <c r="K4" s="220"/>
      <c r="L4" s="221" t="s">
        <v>162</v>
      </c>
      <c r="M4" s="1213" t="str">
        <f>機械設備計画!AB2</f>
        <v/>
      </c>
      <c r="N4" s="1214"/>
      <c r="O4" s="1214"/>
      <c r="P4" s="1214"/>
      <c r="Q4" s="1214"/>
      <c r="R4" s="1214"/>
      <c r="S4" s="1214"/>
      <c r="T4" s="1215"/>
      <c r="W4" s="319" t="s">
        <v>958</v>
      </c>
      <c r="X4" s="479"/>
      <c r="Y4" s="479"/>
      <c r="Z4" s="304" t="s">
        <v>1001</v>
      </c>
      <c r="AA4" s="499">
        <f t="shared" ref="AA4" si="2">MIN(ROUNDDOWN(($M$19*3/4),-3),100000000)</f>
        <v>0</v>
      </c>
      <c r="AB4" s="498">
        <f>MIN(ROUNDDOWN(($M$19*2/3),-3),30000000)</f>
        <v>0</v>
      </c>
      <c r="AC4" s="498">
        <f>IF(M20=0,0,IF(MIN(ROUNDDOWN(($M$20*3/4),-3),10000000)&lt;=3000000,"下限額未満",MIN(ROUNDDOWN(($M$20*3/4),-3),10000000)))</f>
        <v>0</v>
      </c>
      <c r="AD4" s="498">
        <f>IF(機械設備計画!AG16="ｿﾌﾄｳｪｱ申請額下限額未満","下限額未満",MIN(ROUNDDOWN(($M$20*2/3),-3),10000000))</f>
        <v>0</v>
      </c>
      <c r="AE4" s="479" t="str">
        <f>IF(MIN((AA4+AC4),100000000)&lt;=1000000,"下限額未満",MIN((AA4+AC4),100000000))</f>
        <v>下限額未満</v>
      </c>
      <c r="AF4" s="479" t="str">
        <f>IF(MIN((AB4+AD4),30000000)&lt;=1000000,"下限額未満",MIN((AB4+AD4),30000000))</f>
        <v>下限額未満</v>
      </c>
    </row>
    <row r="5" spans="2:35" ht="11.65" customHeight="1" thickTop="1">
      <c r="B5" s="222"/>
      <c r="C5" s="464"/>
      <c r="D5" s="220"/>
      <c r="E5" s="220"/>
      <c r="F5" s="220"/>
      <c r="G5" s="220"/>
      <c r="H5" s="220"/>
      <c r="I5" s="220"/>
      <c r="J5" s="220"/>
      <c r="K5" s="220"/>
      <c r="L5" s="223"/>
      <c r="M5" s="224"/>
      <c r="N5" s="224"/>
      <c r="O5" s="224"/>
      <c r="P5" s="1226" t="str">
        <f>IF(AND(申請書!B29="○",資金計画!M4="A1：競争力強化 中小　 助成率1/2以内"),"申請者区分一致ok",IF(AND(申請書!B30="○",資金計画!M4="A2α：競争力ｾﾞﾛｴﾐ【省ｴﾈ】中小　助成率3/4～1/2以内"),"申請者区分一致ok",IF(AND(申請書!B30="○",資金計画!M4="A2β：競争力ｾﾞﾛｴﾐ【省ｴﾈ】中小　助成率3/4～2/3以内"),"申請者区分一致ok",IF(AND(申請書!B31="○",資金計画!M4="A3α：競争力ｾﾞﾛｴﾐ【再ｴﾈ】中小　助成率3/4～1/2以内"),"申請者区分一致ok",IF(AND(申請書!B31="○",資金計画!M4="A3β：競争力ｾﾞﾛｴﾐ【再ｴﾈ】中小　助成率3/4～2/3以内"),"申請者区分一致ok",IF(AND(申請書!B32="○",資金計画!M4="A4α：競争力賃上げ 中小　助成率3/4～1/2以内"),"申請者区分一致ok",IF(AND(申請書!B32="○",資金計画!M4="A4β：競争力賃上げ 中小　助成率3/4以内"),"申請者区分一致ok",IF(AND(申請書!B33="○",資金計画!M4="B1：競争力強化 小規模　助成率2/3以内"),"申請者区分一致ok",IF(AND(申請書!B34="○",資金計画!M4="B2α：競争力ｾﾞﾛｴﾐ【省ｴﾈ】小規模　助成率3/4～2/3以内"),"申請者区分一致ok",IF(AND(申請書!B34="○",資金計画!M4="B2β：競争力ｾﾞﾛｴﾐ【省ｴﾈ】小規模　助成率3/4～2/3以内"),"申請者区分一致ok",IF(AND(申請書!B35="○",資金計画!M4="B3α：競争力ｾﾞﾛｴﾐ【再ｴﾈ】小規模　助成率3/4～2/3以内"),"申請者区分一致ok",IF(AND(申請書!B35="○",資金計画!M4="B3β：競争力ｾﾞﾛｴﾐ【再ｴﾈ】小規模　助成率3/4～2/3以内"),"申請者区分一致ok",IF(AND(申請書!B36="○",資金計画!M4="B4α：競争力賃上げ 小規模　助成率3/4～2/3以内"),"申請者区分一致ok",IF(AND(申請書!B36="○",資金計画!M4="B4β：競争力賃上げ 小規模　助成率3/4以内"),"申請者区分一致ok",IF(AND(申請書!B38="○",資金計画!M4="C1：ＤＸ推進　助成率2/3以内"),"申請者区分一致ok",IF(AND(申請書!B39="○",資金計画!M4="C2α：ＤＸｾﾞﾛｴﾐ　助成率3/4～2/3以内"),"申請者区分一致ok",IF(AND(申請書!B39="○",資金計画!M4="C2β：ＤＸｾﾞﾛｴﾐ　助成率3/4以内"),"申請者区分一致ok",IF(AND(申請書!B40="○",資金計画!M4="C3α：ＤＸ賃上げ　助成率3/4～2/3以内"),"申請者区分一致ok",IF(AND(申請書!B40="○",資金計画!M4="C3β：ＤＸ賃上げ　助成率3/4以内"),"申請者区分一致ok",IF(AND(申請書!B43="○",資金計画!M4="D1：イノベーション　助成率2/3以内"),"申請者区分一致ok",IF(AND(申請書!B44="○",資金計画!M4="D2α：イノベｾﾞﾛｴﾐ　助成率3/4～2/3以内"),"申請者区分一致ok",IF(AND(申請書!B44="○",資金計画!M4="D2β：イノベｾﾞﾛｴﾐ　助成率3/4以内"),"申請者区分一致ok",IF(AND(申請書!B45="○",資金計画!M4="D3α：イノベ賃上げ　助成率3/4～2/3以内"),"申請者区分一致ok",IF(AND(申請書!B45="○",資金計画!M4="D3β：イノベ賃上げ　助成率3/4以内"),"申請者区分一致ok",IF(AND(申請書!B46="○",資金計画!M4="E1：後継者チャレンジ　助成率2/3以内"),"申請者区分一致ok",IF(AND(申請書!B47="○",資金計画!M4="E2α：後継者ｾﾞﾛｴﾐ　助成率3/4～2/3以内"),"申請者区分一致ok",IF(AND(申請書!B47="○",資金計画!M4="E2β：後継者ｾﾞﾛｴﾐ　助成率3/4以内"),"申請者区分一致ok",IF(AND(申請書!B48="○",資金計画!M4="E3α：後継者賃上げ　助成率3/4～2/3以内"),"申請者区分一致ok",IF(AND(申請書!B48="○",資金計画!M4="E3β：後継者賃上げ　助成率3/4以内"),"申請者区分一致ok","")))))))))))))))))))))))))))))</f>
        <v/>
      </c>
      <c r="Q5" s="1227"/>
      <c r="R5" s="1227"/>
      <c r="S5" s="1227"/>
      <c r="T5" s="1227"/>
      <c r="W5" s="319" t="s">
        <v>959</v>
      </c>
      <c r="X5" s="479"/>
      <c r="Y5" s="479"/>
      <c r="Z5" s="304" t="s">
        <v>1002</v>
      </c>
      <c r="AA5" s="499">
        <f>MIN(ROUNDDOWN(($M$19*3/4),-3),100000000)</f>
        <v>0</v>
      </c>
      <c r="AB5" s="498">
        <f>MIN(ROUNDDOWN(($M$19*3/4),-3),100000000)</f>
        <v>0</v>
      </c>
      <c r="AC5" s="498">
        <f>IF(M20=0,0,IF(MIN(ROUNDDOWN(($M$20*3/4),-3),10000000)&lt;=3000000,"下限額未満",MIN(ROUNDDOWN(($M$20*3/4),-3),10000000)))</f>
        <v>0</v>
      </c>
      <c r="AD5" s="498">
        <f>IF(機械設備計画!AG16="ｿﾌﾄｳｪｱ申請額下限額未満","下限額未満",MIN(ROUNDDOWN(($M$20*3/4),-3),10000000))</f>
        <v>0</v>
      </c>
      <c r="AE5" s="479" t="str">
        <f t="shared" si="0"/>
        <v>下限額未満</v>
      </c>
      <c r="AF5" s="479" t="str">
        <f t="shared" si="1"/>
        <v>下限額未満</v>
      </c>
    </row>
    <row r="6" spans="2:35" s="1" customFormat="1" ht="13.15" customHeight="1">
      <c r="B6" s="225" t="s">
        <v>196</v>
      </c>
      <c r="C6" s="138" t="s">
        <v>197</v>
      </c>
      <c r="D6" s="138"/>
      <c r="E6" s="220"/>
      <c r="F6" s="220"/>
      <c r="G6" s="220"/>
      <c r="H6" s="220"/>
      <c r="I6" s="220"/>
      <c r="J6" s="220"/>
      <c r="K6" s="220"/>
      <c r="L6" s="221"/>
      <c r="M6" s="224"/>
      <c r="N6" s="224"/>
      <c r="O6" s="347"/>
      <c r="P6" s="1228"/>
      <c r="Q6" s="1228"/>
      <c r="R6" s="1228"/>
      <c r="S6" s="1228"/>
      <c r="T6" s="1228"/>
      <c r="U6" s="224"/>
      <c r="V6" s="311"/>
      <c r="W6" s="319" t="s">
        <v>1022</v>
      </c>
      <c r="X6" s="479"/>
      <c r="Y6" s="479"/>
      <c r="Z6" s="500" t="s">
        <v>1007</v>
      </c>
      <c r="AA6" s="501">
        <f>IFERROR(VLOOKUP(M4,Z2:AB5,2,FALSE),0)</f>
        <v>0</v>
      </c>
      <c r="AB6" s="311">
        <f>IFERROR(VLOOKUP(M4,Z2:AB5,3,FALSE),0)</f>
        <v>0</v>
      </c>
      <c r="AC6" s="311">
        <f>IFERROR(VLOOKUP(M4,Z2:AC5,4,FALSE),0)</f>
        <v>0</v>
      </c>
      <c r="AD6" s="311">
        <f>IFERROR(VLOOKUP(M4,Z2:AD5,5,FALSE),0)</f>
        <v>0</v>
      </c>
      <c r="AE6" s="479" t="str">
        <f>IF(MIN((AA6+AC6),100000000)&lt;=1000000,"下限額未満",MIN((AA6+AC6),100000000))</f>
        <v>下限額未満</v>
      </c>
      <c r="AF6" s="479">
        <f>IFERROR(VLOOKUP(M4,Z2:AF5,7,FALSE),0)</f>
        <v>0</v>
      </c>
      <c r="AG6" s="311"/>
      <c r="AH6" s="311"/>
      <c r="AI6" s="311"/>
    </row>
    <row r="7" spans="2:35" s="1" customFormat="1">
      <c r="B7" s="220"/>
      <c r="C7" s="34" t="s">
        <v>393</v>
      </c>
      <c r="D7" s="34"/>
      <c r="E7" s="226"/>
      <c r="F7" s="226"/>
      <c r="G7" s="226"/>
      <c r="H7" s="226"/>
      <c r="I7" s="226"/>
      <c r="J7" s="226"/>
      <c r="K7" s="226"/>
      <c r="L7" s="227"/>
      <c r="M7" s="228"/>
      <c r="N7" s="228"/>
      <c r="O7" s="228"/>
      <c r="P7" s="228"/>
      <c r="Q7" s="228"/>
      <c r="R7" s="228"/>
      <c r="S7" s="228"/>
      <c r="T7" s="228"/>
      <c r="U7" s="224"/>
      <c r="V7" s="311"/>
      <c r="W7" s="313" t="s">
        <v>962</v>
      </c>
      <c r="X7" s="311"/>
      <c r="Y7" s="311"/>
      <c r="Z7" s="311"/>
      <c r="AA7" s="311"/>
      <c r="AB7" s="311"/>
      <c r="AC7" s="311"/>
      <c r="AD7" s="311"/>
      <c r="AE7" s="311"/>
      <c r="AF7" s="311"/>
      <c r="AG7" s="311"/>
      <c r="AH7" s="311"/>
      <c r="AI7" s="311"/>
    </row>
    <row r="8" spans="2:35" s="1" customFormat="1">
      <c r="B8" s="220"/>
      <c r="C8" s="226" t="s">
        <v>592</v>
      </c>
      <c r="D8" s="34"/>
      <c r="E8" s="226"/>
      <c r="F8" s="226"/>
      <c r="G8" s="226"/>
      <c r="H8" s="226"/>
      <c r="I8" s="226"/>
      <c r="J8" s="226"/>
      <c r="K8" s="226"/>
      <c r="L8" s="227"/>
      <c r="M8" s="228"/>
      <c r="N8" s="228"/>
      <c r="O8" s="228"/>
      <c r="P8" s="228"/>
      <c r="Q8" s="228"/>
      <c r="R8" s="228"/>
      <c r="S8" s="228"/>
      <c r="T8" s="228"/>
      <c r="U8" s="224"/>
      <c r="V8" s="311"/>
      <c r="W8" s="313" t="s">
        <v>551</v>
      </c>
      <c r="X8" s="311"/>
      <c r="Y8" s="311"/>
      <c r="Z8" s="311"/>
      <c r="AA8" s="311"/>
      <c r="AB8" s="311"/>
      <c r="AC8" s="311"/>
      <c r="AD8" s="311"/>
      <c r="AE8" s="311"/>
      <c r="AF8" s="311"/>
      <c r="AG8" s="311"/>
      <c r="AH8" s="311"/>
      <c r="AI8" s="311"/>
    </row>
    <row r="9" spans="2:35" s="1" customFormat="1">
      <c r="B9" s="220"/>
      <c r="C9" s="175" t="s">
        <v>590</v>
      </c>
      <c r="D9" s="34"/>
      <c r="E9" s="226"/>
      <c r="F9" s="226"/>
      <c r="G9" s="226"/>
      <c r="H9" s="226"/>
      <c r="I9" s="226"/>
      <c r="J9" s="226"/>
      <c r="K9" s="226"/>
      <c r="L9" s="227"/>
      <c r="M9" s="228"/>
      <c r="N9" s="228"/>
      <c r="O9" s="228"/>
      <c r="P9" s="228"/>
      <c r="Q9" s="228"/>
      <c r="R9" s="228"/>
      <c r="S9" s="228"/>
      <c r="T9" s="228"/>
      <c r="U9" s="224"/>
      <c r="V9" s="311"/>
      <c r="W9" s="313" t="s">
        <v>415</v>
      </c>
      <c r="X9" s="311"/>
      <c r="Y9" s="311"/>
      <c r="Z9" s="311"/>
      <c r="AA9" s="311"/>
      <c r="AB9" s="311"/>
      <c r="AC9" s="311"/>
      <c r="AD9" s="311"/>
      <c r="AE9" s="311"/>
      <c r="AF9" s="311"/>
      <c r="AG9" s="311"/>
      <c r="AH9" s="311"/>
      <c r="AI9" s="311"/>
    </row>
    <row r="10" spans="2:35" s="1" customFormat="1">
      <c r="B10" s="220"/>
      <c r="C10" s="175" t="s">
        <v>591</v>
      </c>
      <c r="D10" s="359"/>
      <c r="E10" s="360"/>
      <c r="F10" s="360"/>
      <c r="G10" s="360"/>
      <c r="H10" s="360"/>
      <c r="I10" s="360"/>
      <c r="J10" s="360"/>
      <c r="K10" s="360"/>
      <c r="L10" s="361"/>
      <c r="M10" s="228"/>
      <c r="N10" s="228"/>
      <c r="O10" s="228"/>
      <c r="P10" s="228"/>
      <c r="Q10" s="228"/>
      <c r="R10" s="228"/>
      <c r="S10" s="228"/>
      <c r="T10" s="228"/>
      <c r="U10" s="224"/>
      <c r="V10" s="311"/>
      <c r="W10" s="313" t="s">
        <v>416</v>
      </c>
      <c r="X10" s="311"/>
      <c r="Y10" s="311"/>
      <c r="Z10" s="311"/>
      <c r="AA10" s="311"/>
      <c r="AB10" s="311"/>
      <c r="AC10" s="311"/>
      <c r="AD10" s="311"/>
      <c r="AE10" s="311"/>
      <c r="AF10" s="311"/>
      <c r="AG10" s="311"/>
      <c r="AH10" s="311"/>
      <c r="AI10" s="311"/>
    </row>
    <row r="11" spans="2:35" s="1" customFormat="1" ht="13.15" customHeight="1" thickBot="1">
      <c r="B11" s="220"/>
      <c r="C11" s="34"/>
      <c r="D11" s="34"/>
      <c r="E11" s="226"/>
      <c r="F11" s="226"/>
      <c r="G11" s="226"/>
      <c r="H11" s="226"/>
      <c r="I11" s="226"/>
      <c r="J11" s="226"/>
      <c r="K11" s="226"/>
      <c r="L11" s="227"/>
      <c r="M11" s="228"/>
      <c r="N11" s="228"/>
      <c r="O11" s="228"/>
      <c r="P11" s="228"/>
      <c r="Q11" s="228"/>
      <c r="R11" s="228"/>
      <c r="S11" s="348"/>
      <c r="T11" s="228"/>
      <c r="U11" s="224"/>
      <c r="V11" s="311"/>
      <c r="W11" s="313"/>
      <c r="X11" s="311"/>
      <c r="Y11" s="311"/>
      <c r="Z11" s="311"/>
      <c r="AA11" s="311"/>
      <c r="AB11" s="311"/>
      <c r="AC11" s="311"/>
      <c r="AD11" s="311"/>
      <c r="AE11" s="311"/>
      <c r="AF11" s="311"/>
      <c r="AG11" s="311"/>
      <c r="AH11" s="311"/>
      <c r="AI11" s="311"/>
    </row>
    <row r="12" spans="2:35" s="1" customFormat="1" ht="12" customHeight="1" thickTop="1" thickBot="1">
      <c r="B12" s="220"/>
      <c r="C12" s="220" t="s">
        <v>392</v>
      </c>
      <c r="E12" s="220"/>
      <c r="F12" s="220"/>
      <c r="G12" s="220"/>
      <c r="H12" s="220"/>
      <c r="I12" s="1296" t="s">
        <v>61</v>
      </c>
      <c r="J12" s="1297"/>
      <c r="K12" s="389" t="s">
        <v>701</v>
      </c>
      <c r="L12" s="205"/>
      <c r="P12" s="224"/>
      <c r="Q12" s="224"/>
      <c r="U12" s="362">
        <f>IF(I12="該当",1,0)</f>
        <v>1</v>
      </c>
      <c r="V12" s="363">
        <f>IF(I12="非該当",1,0)</f>
        <v>0</v>
      </c>
      <c r="W12" s="313" t="s">
        <v>61</v>
      </c>
      <c r="X12" s="311"/>
      <c r="Y12" s="311"/>
      <c r="Z12" s="311"/>
      <c r="AA12" s="311"/>
      <c r="AB12" s="311"/>
      <c r="AC12" s="311"/>
      <c r="AD12" s="311"/>
      <c r="AE12" s="311"/>
      <c r="AF12" s="311"/>
      <c r="AG12" s="311"/>
      <c r="AH12" s="311"/>
      <c r="AI12" s="311"/>
    </row>
    <row r="13" spans="2:35" s="1" customFormat="1" ht="13.15" customHeight="1" thickTop="1">
      <c r="B13" s="220"/>
      <c r="C13" s="220"/>
      <c r="D13" s="220"/>
      <c r="E13" s="220"/>
      <c r="F13" s="223"/>
      <c r="H13" s="220"/>
      <c r="I13" s="390" t="s">
        <v>700</v>
      </c>
      <c r="J13" s="220"/>
      <c r="K13" s="220"/>
      <c r="L13" s="221"/>
      <c r="M13" s="224"/>
      <c r="N13" s="224"/>
      <c r="O13" s="224"/>
      <c r="P13" s="224"/>
      <c r="Q13" s="224"/>
      <c r="R13" s="224"/>
      <c r="S13" s="224"/>
      <c r="T13" s="224"/>
      <c r="U13" s="224"/>
      <c r="V13" s="311"/>
      <c r="W13" s="313" t="s">
        <v>198</v>
      </c>
      <c r="X13" s="311"/>
      <c r="Y13" s="311"/>
      <c r="Z13" s="311"/>
      <c r="AA13" s="311"/>
      <c r="AB13" s="311"/>
      <c r="AC13" s="311"/>
      <c r="AD13" s="311"/>
      <c r="AE13" s="311"/>
      <c r="AF13" s="311"/>
      <c r="AG13" s="311"/>
      <c r="AH13" s="311"/>
      <c r="AI13" s="311"/>
    </row>
    <row r="14" spans="2:35" customFormat="1" ht="14.65" customHeight="1">
      <c r="B14" s="225" t="s">
        <v>199</v>
      </c>
      <c r="C14" s="219" t="s">
        <v>1149</v>
      </c>
      <c r="D14" s="219"/>
      <c r="E14" s="219"/>
      <c r="F14" s="461"/>
      <c r="G14" s="461"/>
      <c r="H14" s="461"/>
      <c r="I14" s="461"/>
      <c r="J14" s="461"/>
      <c r="K14" s="461"/>
      <c r="L14" s="259"/>
      <c r="M14" s="462"/>
      <c r="N14" s="462"/>
      <c r="O14" s="1224" t="str">
        <f>IF(AND(機械設備計画!AC16&gt;0,Q20&lt;3000000),"ｿﾌﾄｳｪｱ申請額下限額未満；見直し要","")</f>
        <v/>
      </c>
      <c r="P14" s="1225"/>
      <c r="Q14" s="1225"/>
      <c r="R14" s="1225"/>
      <c r="S14" s="1225"/>
      <c r="T14" s="1225"/>
      <c r="U14" s="224"/>
      <c r="V14" s="470"/>
      <c r="W14" s="319"/>
      <c r="X14" s="470"/>
      <c r="Y14" s="470"/>
      <c r="Z14" s="470"/>
      <c r="AA14" s="470"/>
      <c r="AB14" s="470"/>
      <c r="AC14" s="470"/>
      <c r="AD14" s="470"/>
      <c r="AE14" s="470"/>
      <c r="AF14" s="470"/>
      <c r="AG14" s="470"/>
      <c r="AH14" s="470"/>
      <c r="AI14" s="470"/>
    </row>
    <row r="15" spans="2:35" customFormat="1" ht="11.15" customHeight="1">
      <c r="B15" s="229" t="s">
        <v>163</v>
      </c>
      <c r="C15" s="220"/>
      <c r="D15" s="220"/>
      <c r="E15" s="220"/>
      <c r="F15" s="220"/>
      <c r="G15" s="220"/>
      <c r="H15" s="220"/>
      <c r="I15" s="230"/>
      <c r="J15" s="220"/>
      <c r="K15" s="220"/>
      <c r="L15" s="231"/>
      <c r="M15" s="1210" t="str">
        <f>IF((機械設備計画!AC14)=M19,"(助成対象経費 金額ok)","助成対象経費 金額不一致NG : (申請設備)ｼｰﾄの助成対象経費合計金額と一致させること")</f>
        <v>(助成対象経費 金額ok)</v>
      </c>
      <c r="N15" s="1210"/>
      <c r="O15" s="1210"/>
      <c r="P15" s="1210"/>
      <c r="Q15" s="1210"/>
      <c r="R15" s="1210"/>
      <c r="S15" s="231"/>
      <c r="T15" s="232" t="s">
        <v>164</v>
      </c>
      <c r="U15" s="233"/>
      <c r="V15" s="470"/>
      <c r="W15" s="320"/>
      <c r="X15" s="498"/>
      <c r="Y15" s="498"/>
      <c r="Z15" s="470"/>
      <c r="AA15" s="470"/>
      <c r="AB15" s="470"/>
      <c r="AC15" s="470"/>
      <c r="AD15" s="470"/>
      <c r="AE15" s="470"/>
      <c r="AF15" s="470"/>
      <c r="AG15" s="470"/>
      <c r="AH15" s="470"/>
      <c r="AI15" s="470"/>
    </row>
    <row r="16" spans="2:35" customFormat="1" ht="15.65" customHeight="1">
      <c r="B16" s="1298" t="s">
        <v>165</v>
      </c>
      <c r="C16" s="1299"/>
      <c r="D16" s="1299"/>
      <c r="E16" s="1299"/>
      <c r="F16" s="1299"/>
      <c r="G16" s="1299"/>
      <c r="H16" s="1300"/>
      <c r="I16" s="1258" t="s">
        <v>166</v>
      </c>
      <c r="J16" s="1259"/>
      <c r="K16" s="1259"/>
      <c r="L16" s="1304"/>
      <c r="M16" s="1298" t="s">
        <v>167</v>
      </c>
      <c r="N16" s="1299"/>
      <c r="O16" s="1299"/>
      <c r="P16" s="1300"/>
      <c r="Q16" s="1305" t="s">
        <v>953</v>
      </c>
      <c r="R16" s="1306"/>
      <c r="S16" s="1306"/>
      <c r="T16" s="1307"/>
      <c r="U16" s="234"/>
      <c r="V16" s="470"/>
      <c r="W16" s="320"/>
      <c r="X16" s="319"/>
      <c r="Y16" s="319"/>
      <c r="Z16" s="321"/>
      <c r="AA16" s="475" t="s">
        <v>1106</v>
      </c>
      <c r="AB16" s="475" t="s">
        <v>1107</v>
      </c>
      <c r="AC16" s="475" t="s">
        <v>1108</v>
      </c>
      <c r="AD16" s="475" t="s">
        <v>1206</v>
      </c>
      <c r="AE16" s="317" t="s">
        <v>969</v>
      </c>
      <c r="AF16" s="470"/>
      <c r="AG16" s="470"/>
      <c r="AH16" s="470"/>
      <c r="AI16" s="470"/>
    </row>
    <row r="17" spans="2:35" customFormat="1" ht="12.4" customHeight="1">
      <c r="B17" s="1301"/>
      <c r="C17" s="1302"/>
      <c r="D17" s="1302"/>
      <c r="E17" s="1302"/>
      <c r="F17" s="1302"/>
      <c r="G17" s="1302"/>
      <c r="H17" s="1303"/>
      <c r="I17" s="235"/>
      <c r="J17" s="1261" t="s">
        <v>168</v>
      </c>
      <c r="K17" s="1261"/>
      <c r="L17" s="236" t="s">
        <v>169</v>
      </c>
      <c r="M17" s="235"/>
      <c r="N17" s="1261" t="s">
        <v>170</v>
      </c>
      <c r="O17" s="1261"/>
      <c r="P17" s="236" t="s">
        <v>171</v>
      </c>
      <c r="Q17" s="1308" t="s">
        <v>172</v>
      </c>
      <c r="R17" s="1309"/>
      <c r="S17" s="1309"/>
      <c r="T17" s="236" t="s">
        <v>173</v>
      </c>
      <c r="U17" s="238"/>
      <c r="V17" s="470"/>
      <c r="W17" s="320"/>
      <c r="X17" s="319"/>
      <c r="Y17" s="319"/>
      <c r="Z17" s="321"/>
      <c r="AA17" s="502" t="str">
        <f>IF(申請書!B29="○","-",
IF(OR(申請書!B33="○",申請書!B37="○",申請書!B38="○",申請書!B43="○",申請書!B46="○",申請書!B49="○"),"-",
IF(OR(申請書!B30="○",申請書!B31="○",申請書!B32="○"),"助成率3/4",
IF(OR(申請書!B34="○",申請書!B35="○"),"助成率3/4",
IF(OR(申請書!B39="○",申請書!B40="○"),"助成率3/4",
IF(OR(申請書!B44="○",申請書!B45="○"),"助成率3/4",
IF(OR(申請書!B47="○",申請書!B48="○"),"助成率3/4",
IF(申請書!B36="○","助成率4/5",
"要申請者区分選択"))))))))</f>
        <v>要申請者区分選択</v>
      </c>
      <c r="AB17" s="502" t="str">
        <f>IF(申請書!B29="○","-",
IF(OR(申請書!B33="○",申請書!B38="○",申請書!B43="○",申請書!B46="○"),"-",
IF(OR(申請書!B30="○",申請書!B31="○"),"助成率2/3",
IF(OR(申請書!B34="○",申請書!B35="○"),"助成率2/3",
IF(申請書!B32="○","-",
IF(申請書!B36="○","-",
IF(OR(申請書!B39="○",申請書!B40="○"),"-",
IF(OR(申請書!B44="○",申請書!B45="○"),"-",
IF(OR(申請書!B47="○",申請書!B48="○"),"-",
"要申請者区分選択")))))))))</f>
        <v>要申請者区分選択</v>
      </c>
      <c r="AC17" s="502" t="str">
        <f>IF(OR(申請書!B29="○",AND(申請書!B30="○",申請書!B56="α"),AND(申請書!B31="○",申請書!B56="α"),AND(申請書!B32="○",申請書!B56="α")),"助成率1/2",
IF(OR(申請書!B33="○",AND(申請書!B34="○",申請書!B56="α"),AND(申請書!B35="○",申請書!B56="α"),AND(申請書!B36="○",申請書!B56="α")),"助成率2/3３千万",
IF(OR(申請書!B38="○",AND(申請書!B39="○",申請書!B56="α"),AND(申請書!B40="○",申請書!B56="α")),"助成率2/3",
IF(OR(申請書!B43="○",AND(申請書!B44="○",申請書!B56="α"),AND(申請書!B45="○",申請書!B56="α")),"助成率2/3",
IF(OR(申請書!B46="○",AND(申請書!B47="○",申請書!B56="α"),AND(申請書!B48="○",申請書!B56="α")),"助成率2/3",
IF(OR(AND(申請書!B30="○",申請書!B56="β"),AND(申請書!B31="○",申請書!B56="β")),"助成率2/3",
IF(OR(AND(申請書!B34="○",申請書!B56="β"),AND(申請書!B35="○",申請書!B56="β")),"助成率2/3",
IF(AND(申請書!B32="○",申請書!B56="β"),"助成率3/4",
IF(OR(AND(申請書!B36="○",申請書!B56="β"),AND(申請書!B36="○",申請書!B56="α")),"助成率4/5",
IF(OR(AND(申請書!B39="○",申請書!B56="β"),AND(申請書!B40="○",申請書!B56="β")),"助成率3/4",
IF(OR(AND(申請書!B44="○",申請書!B56="β"),AND(申請書!B45="○",申請書!B56="β")),"助成率3/4",
IF(OR(AND(申請書!B47="○",申請書!B56="β"),AND(申請書!B48="○",申請書!B56="β")),"助成率3/4",
IF(申請書!B37="○","助成率4/5",
IF(申請書!B49="○","助成率3/4２億",
"要申請者区分選択"))))))))))))))</f>
        <v>要申請者区分選択</v>
      </c>
      <c r="AD17" s="669" t="str">
        <f>IF(OR(申請書!B29="○",申請書!B30="○",申請書!B31="○",申請書!B32="○"),"助成率1/2",
IF(OR(申請書!B33="○",申請書!B34="○",申請書!B35="○",申請書!B36="○"),"助成率2/3３千万",
IF(OR(申請書!B38="○",申請書!B39="○",申請書!B40="○"),"助成率2/3",
IF(OR(申請書!B43="○",申請書!B44="○",申請書!B45="○"),"助成率2/3",
IF(OR(申請書!B46="○",申請書!B47="○",申請書!B48="○"),"助成率2/3",
IF(申請書!B37="○","助成率4/5",
IF(申請書!B49="○","助成率2/3２億",
"要申請者区分選択")))))))</f>
        <v>要申請者区分選択</v>
      </c>
      <c r="AE17" s="503" t="s">
        <v>971</v>
      </c>
      <c r="AF17" s="503" t="s">
        <v>972</v>
      </c>
      <c r="AG17" s="475"/>
      <c r="AH17" s="470"/>
      <c r="AI17" s="470"/>
    </row>
    <row r="18" spans="2:35" customFormat="1" ht="16.149999999999999" hidden="1" customHeight="1">
      <c r="B18" s="350"/>
      <c r="C18" s="234"/>
      <c r="D18" s="234"/>
      <c r="E18" s="234"/>
      <c r="F18" s="234"/>
      <c r="G18" s="234"/>
      <c r="H18" s="351"/>
      <c r="I18" s="355"/>
      <c r="J18" s="349"/>
      <c r="K18" s="349"/>
      <c r="L18" s="236"/>
      <c r="M18" s="350"/>
      <c r="N18" s="356"/>
      <c r="O18" s="356"/>
      <c r="P18" s="237"/>
      <c r="Q18" s="352"/>
      <c r="R18" s="353"/>
      <c r="S18" s="353"/>
      <c r="T18" s="237"/>
      <c r="U18" s="238"/>
      <c r="W18" s="320"/>
      <c r="X18" s="319"/>
      <c r="Y18" s="319"/>
      <c r="Z18" s="321"/>
      <c r="AE18" s="465"/>
      <c r="AF18" s="465"/>
      <c r="AG18" s="466"/>
    </row>
    <row r="19" spans="2:35" customFormat="1" ht="18">
      <c r="B19" s="1205" t="s">
        <v>585</v>
      </c>
      <c r="C19" s="879"/>
      <c r="D19" s="879"/>
      <c r="E19" s="879"/>
      <c r="F19" s="879"/>
      <c r="G19" s="879"/>
      <c r="H19" s="110"/>
      <c r="I19" s="1211">
        <f>IF(I12="該当",INT(M19*1.1),0)</f>
        <v>0</v>
      </c>
      <c r="J19" s="1211"/>
      <c r="K19" s="1211"/>
      <c r="L19" s="1212"/>
      <c r="M19" s="1230">
        <f>機械設備計画!AC14</f>
        <v>0</v>
      </c>
      <c r="N19" s="1220"/>
      <c r="O19" s="1220"/>
      <c r="P19" s="1221"/>
      <c r="Q19" s="1216" t="str">
        <f>IF(AC19="要申請者区分選択","要申請者区分選択",AC19)</f>
        <v>要申請者区分選択</v>
      </c>
      <c r="R19" s="1217"/>
      <c r="S19" s="1217"/>
      <c r="T19" s="1218"/>
      <c r="U19" s="357">
        <f>U12</f>
        <v>1</v>
      </c>
      <c r="V19" s="470"/>
      <c r="W19" s="320"/>
      <c r="X19" s="498"/>
      <c r="Y19" s="498"/>
      <c r="Z19" s="470"/>
      <c r="AA19" s="504" t="str">
        <f>IF(AA17="要申請者区分選択","要申請者区分選択",
IF(AA17="助成率3/4",MIN(ROUNDDOWN(M19*3/4,-3),100000000),
IF(AA17="助成率4/5",MIN(ROUNDDOWN(M19*4/5,-3),100000000),"-")))</f>
        <v>要申請者区分選択</v>
      </c>
      <c r="AB19" s="504" t="str">
        <f>IF(AB17="要申請者区分選択","要申請者区分選択",IF(AB17="助成率2/3",MIN(ROUNDDOWN(M19*2/3,-3),100000000),"-"))</f>
        <v>要申請者区分選択</v>
      </c>
      <c r="AC19" s="504" t="str">
        <f>IF(AC17="要申請者区分選択","要申請者区分選択",
IF(AC17="助成率1/2",MIN(ROUNDDOWN(M19*1/2,-3),100000000),
IF(AC17="助成率2/3",MIN(ROUNDDOWN(M19*2/3,-3),100000000),
IF(AC17="助成率2/3３千万",MIN(ROUNDDOWN(M19*2/3,-3),30000000),
IF(AC17="助成率3/4",MIN(ROUNDDOWN(M19*3/4,-3),100000000),
IF(AC17="助成率4/5",MIN(ROUNDDOWN(M19*4/5,-3),100000000),
IF(AC17="助成率3/4２億",MIN(ROUNDDOWN(M19*3/4,-3),200000000),"-")))))))</f>
        <v>要申請者区分選択</v>
      </c>
      <c r="AD19" s="669" t="str">
        <f>IF($AD$17="要申請者区分選択","要申請者区分選択",
IF($AD$17="助成率1/2",MIN(ROUNDDOWN(M19*1/2,-3),100000000),
IF($AD$17="助成率2/3",MIN(ROUNDDOWN(M19*2/3,-3),100000000),
IF($AD$17="助成率2/3３千万",MIN(ROUNDDOWN(M19*2/3,-3),30000000),
IF($AD$17="助成率4/5",MIN(ROUNDDOWN(M19*4/5,-3),100000000),
IF($AD$17="助成率2/3２億",MIN(ROUNDDOWN(M19*2/3,-3),200000000),"-"))))))</f>
        <v>要申請者区分選択</v>
      </c>
      <c r="AE19" s="504" t="str">
        <f>IF($M$4=W6,MIN(ROUNDDOWN(M19*3/4,-3),100000000),IF($M$4=W7,MIN(ROUNDDOWN(M19*3/4,-3),100000000),IF($M$4=Z4,MIN(ROUNDDOWN(M19*3/4,-3),100000000),IF($M$4=Z5,MIN(ROUNDDOWN(M19*3/4,-3),100000000),"要申請者区分選択"))))</f>
        <v>要申請者区分選択</v>
      </c>
      <c r="AF19" s="504" t="str">
        <f>IF($M$4=W6,MIN(ROUNDDOWN(M19*2/3,-3),100000000),IF($M$4=W7,MIN(ROUNDDOWN(M19*2/3,-3),100000000),IF($M$4=Z4,MIN(ROUNDDOWN(M19*2/3,-3),100000000),IF($M$4=Z5,MIN(ROUNDDOWN(M19*2/3,-3),100000000),"要申請者区分選択"))))</f>
        <v>要申請者区分選択</v>
      </c>
      <c r="AG19" s="480"/>
      <c r="AH19" s="470"/>
      <c r="AI19" s="470"/>
    </row>
    <row r="20" spans="2:35" customFormat="1" ht="18">
      <c r="B20" s="1205" t="s">
        <v>586</v>
      </c>
      <c r="C20" s="879"/>
      <c r="D20" s="879"/>
      <c r="E20" s="879"/>
      <c r="F20" s="879"/>
      <c r="G20" s="879"/>
      <c r="H20" s="110"/>
      <c r="I20" s="1211">
        <f>IF(I12="該当",INT(M20*1.1),0)</f>
        <v>0</v>
      </c>
      <c r="J20" s="1211"/>
      <c r="K20" s="1211"/>
      <c r="L20" s="1212"/>
      <c r="M20" s="1216">
        <f>IF(OR(機械設備計画!AG16="ｿﾌﾄｳｪｱ申請額下限額未満",機械設備計画!AG17="ソフトウエアＢは購入不可"),"ｿﾌﾄｳｪｱ購入不可",機械設備計画!AC16+機械設備計画!AC17)</f>
        <v>0</v>
      </c>
      <c r="N20" s="1313"/>
      <c r="O20" s="1313"/>
      <c r="P20" s="1314"/>
      <c r="Q20" s="1216" t="str">
        <f>IF(AC20="要申請者区分選択","要申請者区分選択",AC20)</f>
        <v>要申請者区分選択</v>
      </c>
      <c r="R20" s="1217"/>
      <c r="S20" s="1217"/>
      <c r="T20" s="1218"/>
      <c r="U20" s="357">
        <f>U12</f>
        <v>1</v>
      </c>
      <c r="V20" s="470"/>
      <c r="W20" s="320"/>
      <c r="X20" s="498"/>
      <c r="Y20" s="498"/>
      <c r="Z20" s="470"/>
      <c r="AA20" s="504" t="str">
        <f>IF(AA17="要申請者区分選択","要申請者区分選択",IF(AA17="助成率3/4",MIN(ROUNDDOWN(M20*3/4,-3),10000000),IF(AA17="助成率4/5",MIN(ROUNDDOWN(M20*4/5,-3),10000000),"-")))</f>
        <v>要申請者区分選択</v>
      </c>
      <c r="AB20" s="504" t="str">
        <f>IF(AB17="要申請者区分選択","要申請者区分選択",IF(AB17="助成率2/3",MIN(ROUNDDOWN(M20*2/3,-3),10000000),"-"))</f>
        <v>要申請者区分選択</v>
      </c>
      <c r="AC20" s="504" t="str">
        <f>IF(AC17="要申請者区分選択","要申請者区分選択",
IF(AC17="助成率1/2",MIN(ROUNDDOWN(M20*1/2,-3),10000000),
IF(AC17="助成率2/3",MIN(ROUNDDOWN(M20*2/3,-3),10000000),
IF(AC17="助成率2/3３千万",MIN(ROUNDDOWN(M20*2/3,-3),10000000),
IF(AC17="助成率3/4",MIN(ROUNDDOWN(M20*3/4,-3),10000000),
IF(AC17="助成率4/5",MIN(ROUNDDOWN(M20*4/5,-3),10000000),
IF(AC17="助成率3/4２億",MIN(ROUNDDOWN(M20*3/4,-3),10000000),"-")))))))</f>
        <v>要申請者区分選択</v>
      </c>
      <c r="AD20" s="669" t="str">
        <f>IF($AD$17="要申請者区分選択","要申請者区分選択",
IF($AD$17="助成率1/2",MIN(ROUNDDOWN(M20*1/2,-3),10000000),
IF($AD$17="助成率2/3",MIN(ROUNDDOWN(M20*2/3,-3),10000000),
IF($AD$17="助成率2/3３千万",MIN(ROUNDDOWN(M20*2/3,-3),10000000),
IF($AD$17="助成率4/5",MIN(ROUNDDOWN(M20*4/5,-3),10000000),
IF($AD$17="助成率2/3２億",MIN(ROUNDDOWN(M20*2/3,-3),10000000),"-"))))))</f>
        <v>要申請者区分選択</v>
      </c>
      <c r="AE20" s="504" t="str">
        <f>IF($M$4=W6,MIN(ROUNDDOWN(M20*3/4,-3),10000000),IF($M$4=W7,MIN(ROUNDDOWN(M20*3/4,-3),10000000),IF($M$4=Z4,MIN(ROUNDDOWN(M20*3/4,-3),10000000),IF($M$4=Z5,MIN(ROUNDDOWN(M20*3/4,-3),10000000),"要申請者区分選択"))))</f>
        <v>要申請者区分選択</v>
      </c>
      <c r="AF20" s="504" t="str">
        <f>IF($M$4=W6,MIN(ROUNDDOWN(M20*2/3,-3),10000000),IF($M$4=W7,MIN(ROUNDDOWN(M20*2/3,-3),10000000),IF($M$4=Z4,MIN(ROUNDDOWN(M20*2/3,-3),10000000),IF($M$4=Z5,MIN(ROUNDDOWN(M20*2/3,-3),10000000),"要申請者区分選択"))))</f>
        <v>要申請者区分選択</v>
      </c>
      <c r="AG20" s="480"/>
      <c r="AH20" s="470"/>
      <c r="AI20" s="470"/>
    </row>
    <row r="21" spans="2:35" customFormat="1" ht="16.5" customHeight="1">
      <c r="B21" s="1205" t="s">
        <v>587</v>
      </c>
      <c r="C21" s="1206"/>
      <c r="D21" s="1206"/>
      <c r="E21" s="1206"/>
      <c r="F21" s="1206"/>
      <c r="G21" s="1207"/>
      <c r="H21" s="364" t="s">
        <v>418</v>
      </c>
      <c r="I21" s="1202"/>
      <c r="J21" s="1203"/>
      <c r="K21" s="1203"/>
      <c r="L21" s="1204"/>
      <c r="M21" s="1230">
        <f>機械設備計画!AC14</f>
        <v>0</v>
      </c>
      <c r="N21" s="1220"/>
      <c r="O21" s="1220"/>
      <c r="P21" s="1221"/>
      <c r="Q21" s="1219" t="str">
        <f>IF(AC21="要申請者区分選択","要申請者区分選択",AC21)</f>
        <v>要申請者区分選択</v>
      </c>
      <c r="R21" s="1220"/>
      <c r="S21" s="1220"/>
      <c r="T21" s="1221"/>
      <c r="U21" s="357">
        <f>V12</f>
        <v>0</v>
      </c>
      <c r="V21" s="470"/>
      <c r="W21" s="320"/>
      <c r="X21" s="498"/>
      <c r="Y21" s="498"/>
      <c r="Z21" s="470"/>
      <c r="AA21" s="504" t="str">
        <f>IF(AA17="要申請者区分選択","要申請者区分選択",IF(AA17="助成率3/4",MIN(ROUNDDOWN(M21*3/4,-3),100000000),IF(AA17="助成率4/5",MIN(ROUNDDOWN(M21*4/5,-3),100000000),"-")))</f>
        <v>要申請者区分選択</v>
      </c>
      <c r="AB21" s="504" t="str">
        <f>IF(AB17="要申請者区分選択","要申請者区分選択",IF(AB17="助成率2/3",MIN(ROUNDDOWN(M21*2/3,-3),100000000),"-"))</f>
        <v>要申請者区分選択</v>
      </c>
      <c r="AC21" s="504" t="str">
        <f>IF(AC17="要申請者区分選択","要申請者区分選択",
IF(AC17="助成率1/2",MIN(ROUNDDOWN(M21*1/2,-3),100000000),
IF(AC17="助成率2/3",MIN(ROUNDDOWN(M21*2/3,-3),100000000),
IF(AC17="助成率2/3３千万",MIN(ROUNDDOWN(M21*2/3,-3),30000000),
IF(AC17="助成率3/4",MIN(ROUNDDOWN(M21*3/4,-3),100000000),
IF(AC17="助成率4/5",MIN(ROUNDDOWN(M21*4/5,-3),100000000),
IF(AC17="助成率3/4２億",MIN(ROUNDDOWN(M21*3/4,-3),200000000),"-")))))))</f>
        <v>要申請者区分選択</v>
      </c>
      <c r="AD21" s="669" t="str">
        <f>IF($AD$17="要申請者区分選択","要申請者区分選択",
IF($AD$17="助成率1/2",MIN(ROUNDDOWN(M21*1/2,-3),100000000),
IF($AD$17="助成率2/3",MIN(ROUNDDOWN(M21*2/3,-3),100000000),
IF($AD$17="助成率2/3３千万",MIN(ROUNDDOWN(M21*2/3,-3),30000000),
IF($AD$17="助成率4/5",MIN(ROUNDDOWN(M21*4/5,-3),100000000),
IF($AD$17="助成率2/3２億",MIN(ROUNDDOWN(M21*2/3,-3),200000000),"-"))))))</f>
        <v>要申請者区分選択</v>
      </c>
      <c r="AE21" s="504" t="str">
        <f>IF($M$4=W6,MIN(ROUNDDOWN(M21*3/4,-3),100000000),IF($M$4=W7,MIN(ROUNDDOWN(M21*3/4,-3),100000000),IF($M$4=Z4,MIN(ROUNDDOWN(M21*3/4,-3),100000000),IF($M$4=Z5,MIN(ROUNDDOWN(M21*3/4,-3),100000000),"要申請者区分選択"))))</f>
        <v>要申請者区分選択</v>
      </c>
      <c r="AF21" s="504" t="str">
        <f>IF($M$4=W6,MIN(ROUNDDOWN(M21*2/3,-3),100000000),IF($M$4=W7,MIN(ROUNDDOWN(M21*2/3,-3),100000000),IF($M$4=Z4,MIN(ROUNDDOWN(M21*2/3,-3),100000000),IF($M$4=Z5,MIN(ROUNDDOWN(M21*2/3,-3),100000000),"要申請者区分選択"))))</f>
        <v>要申請者区分選択</v>
      </c>
      <c r="AG21" s="480"/>
      <c r="AH21" s="470"/>
      <c r="AI21" s="470"/>
    </row>
    <row r="22" spans="2:35" customFormat="1" ht="16.5" customHeight="1">
      <c r="B22" s="1310" t="s">
        <v>586</v>
      </c>
      <c r="C22" s="1311"/>
      <c r="D22" s="1311"/>
      <c r="E22" s="1311"/>
      <c r="F22" s="1311"/>
      <c r="G22" s="1312"/>
      <c r="H22" s="364" t="s">
        <v>418</v>
      </c>
      <c r="I22" s="1202"/>
      <c r="J22" s="1203"/>
      <c r="K22" s="1203"/>
      <c r="L22" s="1204"/>
      <c r="M22" s="1216">
        <f>機械設備計画!AC16+機械設備計画!AC17</f>
        <v>0</v>
      </c>
      <c r="N22" s="1222"/>
      <c r="O22" s="1222"/>
      <c r="P22" s="1223"/>
      <c r="Q22" s="1216" t="str">
        <f>IF(AC22="要申請者区分選択","要申請者区分選択",AC22)</f>
        <v>要申請者区分選択</v>
      </c>
      <c r="R22" s="1222"/>
      <c r="S22" s="1222"/>
      <c r="T22" s="1223"/>
      <c r="U22" s="357">
        <f>V12</f>
        <v>0</v>
      </c>
      <c r="V22" s="470"/>
      <c r="W22" s="505" t="s">
        <v>960</v>
      </c>
      <c r="X22" s="505" t="s">
        <v>961</v>
      </c>
      <c r="Y22" s="506"/>
      <c r="Z22" s="470"/>
      <c r="AA22" s="504" t="str">
        <f>IF(AA17="要申請者区分選択","要申請者区分選択",IF(AA17="助成率3/4",MIN(ROUNDDOWN(M22*3/4,-3),10000000),IF(AA17="助成率4/5",MIN(ROUNDDOWN(M22*4/5,-3),10000000),"-")))</f>
        <v>要申請者区分選択</v>
      </c>
      <c r="AB22" s="504" t="str">
        <f>IF(AB17="要申請者区分選択","要申請者区分選択",IF(AB17="助成率2/3",MIN(ROUNDDOWN(M22*2/3,-3),10000000),"-"))</f>
        <v>要申請者区分選択</v>
      </c>
      <c r="AC22" s="504" t="str">
        <f>IF(AC17="要申請者区分選択","要申請者区分選択",
IF(AC17="助成率1/2",MIN(ROUNDDOWN(M22*1/2,-3),10000000),
IF(AC17="助成率2/3",MIN(ROUNDDOWN(M22*2/3,-3),10000000),
IF(AC17="助成率2/3３千万",MIN(ROUNDDOWN(M22*2/3,-3),10000000),
IF(AC17="助成率3/4",MIN(ROUNDDOWN(M22*3/4,-3),10000000),
IF(AC17="助成率4/5",MIN(ROUNDDOWN(M22*4/5,-3),100000000),
IF(AC17="助成率3/4２億",MIN(ROUNDDOWN(M22*3/4,-3),200000000),"-")))))))</f>
        <v>要申請者区分選択</v>
      </c>
      <c r="AD22" s="669" t="str">
        <f>IF($AD$17="要申請者区分選択","要申請者区分選択",
IF($AD$17="助成率1/2",MIN(ROUNDDOWN(M22*1/2,-3),10000000),
IF($AD$17="助成率2/3",MIN(ROUNDDOWN(M22*2/3,-3),10000000),
IF($AD$17="助成率2/3３千万",MIN(ROUNDDOWN(M22*2/3,-3),10000000),
IF($AD$17="助成率4/5",MIN(ROUNDDOWN(M22*4/5,-3),10000000),
IF($AD$17="助成率2/3２億",MIN(ROUNDDOWN(M22*2/3,-3),10000000),"-"))))))</f>
        <v>要申請者区分選択</v>
      </c>
      <c r="AE22" s="504" t="str">
        <f>IF($M$4=W6,MIN(ROUNDDOWN(M22*3/4,-3),10000000),IF($M$4=W7,MIN(ROUNDDOWN(M22*3/4,-3),10000000),IF($M$4=Z4,MIN(ROUNDDOWN(M22*3/4,-3),10000000),IF($M$4=Z5,MIN(ROUNDDOWN(M22*3/4,-3),10000000),"要申請者区分選択"))))</f>
        <v>要申請者区分選択</v>
      </c>
      <c r="AF22" s="504" t="str">
        <f>IF($M$4=W6,MIN(ROUNDDOWN(M22*2/3,-3),10000000),IF($M$4=W7,MIN(ROUNDDOWN(M22*2/3,-3),10000000),IF($M$4=Z4,MIN(ROUNDDOWN(M22*2/3,-3),10000000),IF($M$4=Z5,MIN(ROUNDDOWN(M22*2/3,-3),10000000),"要申請者区分選択"))))</f>
        <v>要申請者区分選択</v>
      </c>
      <c r="AG22" s="480"/>
      <c r="AH22" s="470"/>
      <c r="AI22" s="470"/>
    </row>
    <row r="23" spans="2:35" customFormat="1" ht="18.5" thickBot="1">
      <c r="B23" s="1205" t="s">
        <v>174</v>
      </c>
      <c r="C23" s="1289"/>
      <c r="D23" s="1289"/>
      <c r="E23" s="1289"/>
      <c r="F23" s="1289"/>
      <c r="G23" s="1289"/>
      <c r="H23" s="211"/>
      <c r="I23" s="1211">
        <f>I53</f>
        <v>0</v>
      </c>
      <c r="J23" s="1211"/>
      <c r="K23" s="1211"/>
      <c r="L23" s="1212"/>
      <c r="M23" s="1290"/>
      <c r="N23" s="1291"/>
      <c r="O23" s="1291"/>
      <c r="P23" s="1292"/>
      <c r="Q23" s="1293">
        <f>IF(I12="該当",SUM(Q19:Q20),SUM(Q21:Q22))</f>
        <v>0</v>
      </c>
      <c r="R23" s="1294"/>
      <c r="S23" s="1294"/>
      <c r="T23" s="1295"/>
      <c r="U23" s="358"/>
      <c r="V23" s="470"/>
      <c r="W23" s="507" t="str">
        <f>IF(OR(AC17="助成率1/2",AC17="助成率2/3",AC17="助成率3/4",AC17="助成率4/5"),IF(Q23&lt;=100000000,Q23,100000000),"-")</f>
        <v>-</v>
      </c>
      <c r="X23" s="570" t="str">
        <f>IF(AC17="助成率2/3３千万",IF(Q23&lt;=30000000,Q23,30000000),"-")</f>
        <v>-</v>
      </c>
      <c r="Y23" s="508"/>
      <c r="Z23" s="502" t="s">
        <v>963</v>
      </c>
      <c r="AA23" s="509">
        <f>IF(I12="該当",SUM(AA19:AA20),SUM(AA21:AA22))</f>
        <v>0</v>
      </c>
      <c r="AB23" s="509">
        <f>IF(I12="該当",SUM(AB19:AB20),SUM(AB21:AB22))</f>
        <v>0</v>
      </c>
      <c r="AC23" s="509">
        <f>IF(I12="該当",SUM(AC19:AC20),SUM(AC21:AC22))</f>
        <v>0</v>
      </c>
      <c r="AD23" s="669" t="str">
        <f>IF($AD$17="要申請者区分選択","要申請者区分選択",
IF($I$12="該当",
IF($AD$17="助成率1/2",MIN(ROUNDDOWN(SUM(AD19:AD20),-3),100000000),
IF($AD$17="助成率2/3",MIN(ROUNDDOWN(SUM(AD19:AD20),-3),100000000),
IF($AD$17="助成率2/3３千万",MIN(ROUNDDOWN(SUM(AD19:AD20),-3),30000000),
IF($AD$17="助成率4/5",MIN(ROUNDDOWN(SUM(AD19:AD20),-3),100000000),
IF($AD$17="助成率2/3２億",MIN(ROUNDDOWN(SUM(AD19:AD20),-3),200000000)))))),
IF($AD$17="助成率1/2",MIN(ROUNDDOWN(SUM(AD21:AD22),-3),100000000),
IF($AD$17="助成率2/3",MIN(ROUNDDOWN(SUM(AD21:AD22),-3),100000000),
IF($AD$17="助成率2/3３千万",MIN(ROUNDDOWN(SUM(AD21:AD22),-3),30000000),
IF($AD$17="助成率4/5",MIN(ROUNDDOWN(SUM(AD21:AD22),-3),100000000),
IF($AD$17="助成率2/3２億",MIN(ROUNDDOWN(SUM(AD21:AD22),-3),200000000))))))))</f>
        <v>要申請者区分選択</v>
      </c>
      <c r="AE23" s="509">
        <f>IF(I12="該当",SUM(AE19:AE20),SUM(AE21:AE22))</f>
        <v>0</v>
      </c>
      <c r="AF23" s="509">
        <f>IF(I12="該当",SUM(AF19:AF20),SUM(AF21:AF22))</f>
        <v>0</v>
      </c>
      <c r="AG23" s="481"/>
      <c r="AH23" s="630" t="str">
        <f>IF(AC17="助成率3/4２億",IF(Q23&lt;=200000000,Q23,200000000),"-")</f>
        <v>-</v>
      </c>
      <c r="AI23" s="630" t="str">
        <f>IF(AH24&gt;=100000000,AH24,"下限額未満")</f>
        <v>下限額未満</v>
      </c>
    </row>
    <row r="24" spans="2:35" customFormat="1" ht="19.5" customHeight="1" thickBot="1">
      <c r="B24" s="1232" t="s">
        <v>176</v>
      </c>
      <c r="C24" s="1233"/>
      <c r="D24" s="1233"/>
      <c r="E24" s="1233"/>
      <c r="F24" s="1233"/>
      <c r="G24" s="1233"/>
      <c r="H24" s="239"/>
      <c r="I24" s="1234">
        <f>IF(I12="該当",INT(SUM(I19:I20)+I23),INT(SUM(I21:I22)+I23))</f>
        <v>0</v>
      </c>
      <c r="J24" s="1211"/>
      <c r="K24" s="1211"/>
      <c r="L24" s="1212"/>
      <c r="M24" s="1216" t="str">
        <f>助成金申請上限!O3</f>
        <v/>
      </c>
      <c r="N24" s="1217"/>
      <c r="O24" s="1217"/>
      <c r="P24" s="1217"/>
      <c r="Q24" s="1235" t="str">
        <f>IF(申請書!B49="○",AI23,AI24)</f>
        <v>下限額未満</v>
      </c>
      <c r="R24" s="1236"/>
      <c r="S24" s="1236"/>
      <c r="T24" s="1237"/>
      <c r="U24" s="358"/>
      <c r="V24" s="470"/>
      <c r="W24" s="507" t="str">
        <f>IF(AC17="助成率2/3３千万",X23,W23)</f>
        <v>-</v>
      </c>
      <c r="X24" s="510">
        <f>IF(AND(Q19="要申請者区分選択",Q20="要申請者区分選択"),0,W24)</f>
        <v>0</v>
      </c>
      <c r="Y24" s="511"/>
      <c r="Z24" s="512" t="s">
        <v>965</v>
      </c>
      <c r="AA24" s="509" t="str">
        <f>IF(OR(AA17="助成率3/4",AA17="助成率4/5"),IF(AA23&lt;=100000000,AA23,100000000),"-")</f>
        <v>-</v>
      </c>
      <c r="AB24" s="504" t="str">
        <f>IF(AB17="助成率2/3",IF(AB23&lt;=100000000,AB23,100000000),"-")</f>
        <v>-</v>
      </c>
      <c r="AC24" s="509" t="str">
        <f>IF(OR(AC17="助成率1/2",AC17="助成率2/3",AC17="助成率3/4"),IF(AC23&lt;=100000000,AC23,100000000),"-")</f>
        <v>-</v>
      </c>
      <c r="AD24" s="470"/>
      <c r="AE24" s="509">
        <f>IF(AND($M$4=W2,AE23&lt;=100000000),AE23,
IF(AND($M$4=W3,AE23&lt;=100000000),AE23,
IF(AND($M$4=W4,AE23&lt;=100000000),AE23,
IF(AND($M$4=Z2,AE23&lt;=100000000),AE23,
IF(AND($M$4=Z3,AE23&lt;=100000000),AE23,
IF(AND($M$4=W5,AE23&lt;=100000000),AE23,
IF(AND($M$4=W6,AE23&lt;=100000000),AE23,
IF(AND($M$4=W7,AE23&lt;=100000000),AE23,
IF(AND($M$4=Z4,AE23&lt;=100000000),AE23,
IF(AND($M$4=Z5,AE23&lt;=100000000),AE23,
IF(AND($M$4=W8,AE23&lt;=100000000),AE23,
IF(AND($M$4=W9,AE23&lt;=100000000),AE23,
IF(AND($M$4=W10,AE23&lt;=100000000),AE23,100000000)))))))))))))</f>
        <v>100000000</v>
      </c>
      <c r="AF24" s="509">
        <f>IF(AND($M$4=W2,AF23&lt;=100000000),AF23,
IF(AND($M$4=W3,AF23&lt;=100000000),AF23,
IF(AND($M$4=W4,AF23&lt;=100000000),AF23,
IF(AND($M$4=Z2,AF23&lt;=100000000),AF23,
IF(AND($M$4=Z3,AF23&lt;=100000000),AF23,
IF(AND($M$4=W5,AF23&lt;=100000000),AF23,
IF(AND($M$4=W6,AF23&lt;=100000000),AF23,
IF(AND($M$4=W7,AF23&lt;=100000000),AF23,
IF(AND($M$4=Z4,AF23&lt;=100000000),AF23,
IF(AND($M$4=Z5,AF23&lt;=100000000),AF23,
IF(AND($M$4=W8,AF23&lt;=100000000),AF23,
IF(AND($M$4=W9,AF23&lt;=100000000),AF23,
IF(AND($M$4=W10,AF23&lt;=100000000),AF23,100000000)))))))))))))</f>
        <v>100000000</v>
      </c>
      <c r="AG24" s="481"/>
      <c r="AH24" s="630">
        <f>IF(AND(Q19="要申請者区分選択",Q20="要申請者区分選択"),0,AH23)</f>
        <v>0</v>
      </c>
      <c r="AI24" s="631" t="str">
        <f>IF(X24&gt;=1000000,X24,"下限額未満")</f>
        <v>下限額未満</v>
      </c>
    </row>
    <row r="25" spans="2:35" s="3" customFormat="1" ht="11.65" customHeight="1">
      <c r="B25" s="240"/>
      <c r="C25" s="240"/>
      <c r="D25" s="240"/>
      <c r="E25" s="240"/>
      <c r="F25" s="241"/>
      <c r="G25" s="240"/>
      <c r="H25" s="240"/>
      <c r="I25" s="242"/>
      <c r="J25" s="243" t="s">
        <v>177</v>
      </c>
      <c r="K25" s="245" t="s">
        <v>1019</v>
      </c>
      <c r="N25" s="244"/>
      <c r="P25" s="244"/>
      <c r="Q25" s="240"/>
      <c r="R25" s="1286" t="s">
        <v>1066</v>
      </c>
      <c r="S25" s="1286"/>
      <c r="T25" s="1286"/>
      <c r="U25" s="358"/>
      <c r="V25" s="313"/>
      <c r="W25" s="313"/>
      <c r="X25" s="313"/>
      <c r="Y25" s="313"/>
      <c r="Z25" s="513" t="s">
        <v>964</v>
      </c>
      <c r="AA25" s="504" t="s">
        <v>1112</v>
      </c>
      <c r="AB25" s="504" t="s">
        <v>1112</v>
      </c>
      <c r="AC25" s="504" t="str">
        <f>IF(AC17="助成率2/3３千万",IF(AC23&lt;=30000000,AC23,30000000),"-")</f>
        <v>-</v>
      </c>
      <c r="AD25" s="313"/>
      <c r="AE25" s="509">
        <f>IF(AND(OR($M$4=W5,$M$4=W6,$M$4=Z4),AE23&lt;=30000000),AE23,30000000)</f>
        <v>30000000</v>
      </c>
      <c r="AF25" s="509">
        <f>IF(AND(OR($M$4=W5,$M$4=W6,$M$4=Z4),AF23&lt;=30000000),AF23,30000000)</f>
        <v>30000000</v>
      </c>
      <c r="AG25" s="481"/>
      <c r="AH25" s="313"/>
      <c r="AI25" s="313"/>
    </row>
    <row r="26" spans="2:35" s="3" customFormat="1" ht="11.65" customHeight="1">
      <c r="B26" s="240"/>
      <c r="C26" s="240"/>
      <c r="D26" s="240"/>
      <c r="E26" s="240"/>
      <c r="F26" s="240"/>
      <c r="G26" s="240"/>
      <c r="H26" s="240"/>
      <c r="I26" s="240"/>
      <c r="J26" s="240"/>
      <c r="K26" s="245" t="s">
        <v>1147</v>
      </c>
      <c r="N26" s="240"/>
      <c r="P26" s="240"/>
      <c r="Q26" s="586" t="s">
        <v>1148</v>
      </c>
      <c r="R26" s="585"/>
      <c r="S26" s="585"/>
      <c r="T26" s="585"/>
      <c r="U26" s="358"/>
      <c r="V26" s="313"/>
      <c r="W26" s="482"/>
      <c r="X26" s="482"/>
      <c r="Y26" s="482"/>
      <c r="Z26" s="482"/>
      <c r="AA26" s="482"/>
      <c r="AB26" s="1287"/>
      <c r="AC26" s="1287"/>
      <c r="AD26" s="1287"/>
      <c r="AE26" s="482"/>
      <c r="AF26" s="313"/>
      <c r="AG26" s="313"/>
      <c r="AH26" s="313"/>
      <c r="AI26" s="313"/>
    </row>
    <row r="27" spans="2:35" ht="28.15" customHeight="1">
      <c r="B27" s="463" t="s">
        <v>954</v>
      </c>
      <c r="C27" s="1288" t="s">
        <v>1067</v>
      </c>
      <c r="D27" s="1288"/>
      <c r="E27" s="1288"/>
      <c r="F27" s="1288"/>
      <c r="G27" s="1288"/>
      <c r="H27" s="1288"/>
      <c r="I27" s="1288"/>
      <c r="J27" s="1288"/>
      <c r="K27" s="1288"/>
      <c r="L27" s="1288"/>
      <c r="M27" s="1288"/>
      <c r="N27" s="1288"/>
      <c r="O27" s="1288"/>
      <c r="P27" s="1288"/>
      <c r="Q27" s="1288"/>
      <c r="R27" s="1288"/>
      <c r="S27" s="1288"/>
      <c r="T27" s="1288"/>
      <c r="W27" s="482"/>
      <c r="X27" s="482"/>
      <c r="Y27" s="482"/>
      <c r="Z27" s="514" t="s">
        <v>973</v>
      </c>
      <c r="AA27" s="482"/>
      <c r="AB27" s="515"/>
      <c r="AC27" s="515"/>
      <c r="AD27" s="515"/>
      <c r="AE27" s="317" t="s">
        <v>969</v>
      </c>
      <c r="AF27" s="479"/>
    </row>
    <row r="28" spans="2:35" s="3" customFormat="1" ht="27" customHeight="1">
      <c r="B28" s="246" t="s">
        <v>169</v>
      </c>
      <c r="C28" s="1231" t="s">
        <v>519</v>
      </c>
      <c r="D28" s="1231"/>
      <c r="E28" s="1231"/>
      <c r="F28" s="1231"/>
      <c r="G28" s="1231"/>
      <c r="H28" s="1231"/>
      <c r="I28" s="1231"/>
      <c r="J28" s="1231"/>
      <c r="K28" s="1231"/>
      <c r="L28" s="1231"/>
      <c r="M28" s="1231"/>
      <c r="N28" s="1231"/>
      <c r="O28" s="1231"/>
      <c r="P28" s="1231"/>
      <c r="Q28" s="1231"/>
      <c r="R28" s="1231"/>
      <c r="S28" s="1231"/>
      <c r="T28" s="1231"/>
      <c r="U28" s="40"/>
      <c r="V28" s="313"/>
      <c r="W28" s="482"/>
      <c r="X28" s="482"/>
      <c r="Y28" s="482"/>
      <c r="Z28" s="516" t="s">
        <v>967</v>
      </c>
      <c r="AA28" s="517" t="str">
        <f>IF($M$4=W2,AA24,IF($M$4=W3,AA24,IF($M$4=W4,AA24,IF($M$4=W5,AA25,IF($M$4=W6,AA25,AA24)))))</f>
        <v>-</v>
      </c>
      <c r="AB28" s="518" t="s">
        <v>971</v>
      </c>
      <c r="AC28" s="668"/>
      <c r="AD28" s="516" t="s">
        <v>966</v>
      </c>
      <c r="AE28" s="517">
        <f>IF(AE23&lt;=100000000,AE23,100000000)</f>
        <v>0</v>
      </c>
      <c r="AF28" s="313"/>
      <c r="AG28" s="313"/>
      <c r="AH28" s="313"/>
      <c r="AI28" s="313"/>
    </row>
    <row r="29" spans="2:35" s="3" customFormat="1" ht="23.65" customHeight="1">
      <c r="B29" s="246" t="s">
        <v>171</v>
      </c>
      <c r="C29" s="1231" t="s">
        <v>520</v>
      </c>
      <c r="D29" s="1231"/>
      <c r="E29" s="1231"/>
      <c r="F29" s="1231"/>
      <c r="G29" s="1231"/>
      <c r="H29" s="1231"/>
      <c r="I29" s="1231"/>
      <c r="J29" s="1231"/>
      <c r="K29" s="1231"/>
      <c r="L29" s="1231"/>
      <c r="M29" s="1231"/>
      <c r="N29" s="1231"/>
      <c r="O29" s="1231"/>
      <c r="P29" s="1231"/>
      <c r="Q29" s="1231"/>
      <c r="R29" s="1231"/>
      <c r="S29" s="1231"/>
      <c r="T29" s="1231"/>
      <c r="U29" s="40"/>
      <c r="V29" s="482"/>
      <c r="W29" s="482"/>
      <c r="X29" s="482"/>
      <c r="Y29" s="482"/>
      <c r="Z29" s="516" t="s">
        <v>968</v>
      </c>
      <c r="AA29" s="517" t="str">
        <f>IF($M$4=W2,AB24,IF($M$4=W3,AB24,IF($M$4=W4,AB24,IF($M$4=W5,AB25,IF($M$4=W6,AB25,AB24)))))</f>
        <v>-</v>
      </c>
      <c r="AB29" s="518" t="s">
        <v>972</v>
      </c>
      <c r="AC29" s="668"/>
      <c r="AD29" s="516" t="s">
        <v>967</v>
      </c>
      <c r="AE29" s="517">
        <f>IF(AF23&lt;=100000000,AF23,100000000)</f>
        <v>0</v>
      </c>
      <c r="AF29" s="313"/>
      <c r="AG29" s="313"/>
      <c r="AH29" s="313"/>
      <c r="AI29" s="313"/>
    </row>
    <row r="30" spans="2:35" s="3" customFormat="1" ht="24" customHeight="1">
      <c r="B30" s="246" t="s">
        <v>173</v>
      </c>
      <c r="C30" s="1231" t="s">
        <v>1068</v>
      </c>
      <c r="D30" s="1231"/>
      <c r="E30" s="1231"/>
      <c r="F30" s="1231"/>
      <c r="G30" s="1231"/>
      <c r="H30" s="1231"/>
      <c r="I30" s="1231"/>
      <c r="J30" s="1231"/>
      <c r="K30" s="1231"/>
      <c r="L30" s="1231"/>
      <c r="M30" s="1231"/>
      <c r="N30" s="1231"/>
      <c r="O30" s="1231"/>
      <c r="P30" s="1231"/>
      <c r="Q30" s="1231"/>
      <c r="R30" s="1231"/>
      <c r="S30" s="1231"/>
      <c r="T30" s="1231"/>
      <c r="U30" s="40"/>
      <c r="V30" s="482"/>
      <c r="W30" s="482"/>
      <c r="X30" s="482"/>
      <c r="Y30" s="482"/>
      <c r="Z30" s="516" t="s">
        <v>966</v>
      </c>
      <c r="AA30" s="517" t="str">
        <f>IF($M$4=W2,AC24,IF($M$4=W3,AC24,IF($M$4=W4,AC24,IF($M$4=W5,AC25,IF($M$4=W7,AC24,AC24)))))</f>
        <v>-</v>
      </c>
      <c r="AB30" s="518" t="s">
        <v>970</v>
      </c>
      <c r="AC30" s="668"/>
      <c r="AD30" s="516" t="s">
        <v>968</v>
      </c>
      <c r="AE30" s="517" t="str">
        <f>Q24</f>
        <v>下限額未満</v>
      </c>
      <c r="AF30" s="313"/>
      <c r="AG30" s="313"/>
      <c r="AH30" s="313"/>
      <c r="AI30" s="313"/>
    </row>
    <row r="31" spans="2:35" ht="12.65" customHeight="1">
      <c r="B31" s="246" t="s">
        <v>188</v>
      </c>
      <c r="C31" s="1284" t="s">
        <v>699</v>
      </c>
      <c r="D31" s="1285"/>
      <c r="E31" s="1285"/>
      <c r="F31" s="1285"/>
      <c r="G31" s="1285"/>
      <c r="H31" s="1285"/>
      <c r="I31" s="1285"/>
      <c r="J31" s="1285"/>
      <c r="K31" s="1285"/>
      <c r="L31" s="1285"/>
      <c r="M31" s="1285"/>
      <c r="N31" s="1285"/>
      <c r="O31" s="1285"/>
      <c r="P31" s="1285"/>
      <c r="Q31" s="1285"/>
      <c r="R31" s="1285"/>
      <c r="S31" s="1285"/>
      <c r="T31" s="1285"/>
      <c r="V31" s="482"/>
      <c r="W31" s="482"/>
      <c r="X31" s="482"/>
      <c r="Y31" s="482"/>
      <c r="Z31" s="482"/>
      <c r="AA31" s="482"/>
      <c r="AB31" s="515"/>
      <c r="AC31" s="515"/>
      <c r="AD31" s="515"/>
      <c r="AE31" s="520"/>
      <c r="AF31" s="479"/>
    </row>
    <row r="32" spans="2:35" ht="5.15" customHeight="1">
      <c r="B32" s="246"/>
      <c r="C32" s="247"/>
      <c r="D32" s="247"/>
      <c r="E32" s="247"/>
      <c r="F32" s="247"/>
      <c r="G32" s="247"/>
      <c r="H32" s="247"/>
      <c r="I32" s="247"/>
      <c r="J32" s="247"/>
      <c r="K32" s="247"/>
      <c r="L32" s="247"/>
      <c r="M32" s="247"/>
      <c r="N32" s="247"/>
      <c r="O32" s="247"/>
      <c r="P32" s="247"/>
      <c r="Q32" s="247"/>
      <c r="R32" s="247"/>
      <c r="S32" s="247"/>
      <c r="T32" s="247"/>
      <c r="V32" s="482"/>
      <c r="W32" s="482"/>
      <c r="X32" s="482"/>
      <c r="Y32" s="482"/>
      <c r="Z32" s="482"/>
      <c r="AA32" s="482"/>
      <c r="AB32" s="515"/>
      <c r="AC32" s="515"/>
      <c r="AD32" s="515"/>
      <c r="AE32" s="520"/>
      <c r="AF32" s="479"/>
    </row>
    <row r="33" spans="2:35" ht="21" customHeight="1">
      <c r="B33" s="248" t="s">
        <v>200</v>
      </c>
      <c r="C33" s="219" t="s">
        <v>201</v>
      </c>
      <c r="D33" s="219"/>
      <c r="E33" s="219"/>
      <c r="F33" s="245"/>
      <c r="G33" s="226"/>
      <c r="H33" s="220"/>
      <c r="I33" s="230"/>
      <c r="J33" s="220"/>
      <c r="K33" s="220"/>
      <c r="L33" s="249"/>
      <c r="M33" s="249"/>
      <c r="N33" s="249"/>
      <c r="O33" s="249"/>
      <c r="P33" s="249"/>
      <c r="Q33" s="249"/>
      <c r="R33" s="249"/>
      <c r="S33" s="249"/>
      <c r="T33" s="233" t="s">
        <v>178</v>
      </c>
      <c r="V33" s="482"/>
      <c r="W33" s="482"/>
      <c r="X33" s="482"/>
      <c r="Y33" s="482"/>
      <c r="Z33" s="482"/>
      <c r="AA33" s="482"/>
      <c r="AB33" s="515"/>
      <c r="AC33" s="515"/>
      <c r="AD33" s="515"/>
      <c r="AE33" s="520"/>
      <c r="AF33" s="479"/>
    </row>
    <row r="34" spans="2:35" ht="27.65" customHeight="1">
      <c r="B34" s="1278" t="s">
        <v>545</v>
      </c>
      <c r="C34" s="1279"/>
      <c r="D34" s="1279"/>
      <c r="E34" s="1279"/>
      <c r="F34" s="1279"/>
      <c r="G34" s="1279"/>
      <c r="H34" s="1280"/>
      <c r="I34" s="1278" t="s">
        <v>179</v>
      </c>
      <c r="J34" s="1279"/>
      <c r="K34" s="1279"/>
      <c r="L34" s="1280"/>
      <c r="M34" s="1281" t="s">
        <v>180</v>
      </c>
      <c r="N34" s="1282"/>
      <c r="O34" s="1282"/>
      <c r="P34" s="1283"/>
      <c r="Q34" s="1278" t="s">
        <v>181</v>
      </c>
      <c r="R34" s="1279"/>
      <c r="S34" s="1279"/>
      <c r="T34" s="1280"/>
      <c r="V34" s="482"/>
      <c r="W34" s="482"/>
      <c r="X34" s="482"/>
      <c r="Y34" s="482"/>
      <c r="Z34" s="482"/>
      <c r="AA34" s="482"/>
      <c r="AB34" s="515"/>
      <c r="AC34" s="515"/>
      <c r="AD34" s="515"/>
      <c r="AE34" s="520"/>
      <c r="AF34" s="479"/>
    </row>
    <row r="35" spans="2:35" ht="18.649999999999999" customHeight="1">
      <c r="B35" s="1264" t="s">
        <v>182</v>
      </c>
      <c r="C35" s="1265"/>
      <c r="D35" s="1265"/>
      <c r="E35" s="1265"/>
      <c r="F35" s="1265"/>
      <c r="G35" s="1265"/>
      <c r="H35" s="1266"/>
      <c r="I35" s="1267"/>
      <c r="J35" s="1268"/>
      <c r="K35" s="1268"/>
      <c r="L35" s="1269"/>
      <c r="M35" s="1273"/>
      <c r="N35" s="1276"/>
      <c r="O35" s="1276"/>
      <c r="P35" s="1277"/>
      <c r="Q35" s="1273"/>
      <c r="R35" s="1274"/>
      <c r="S35" s="1274"/>
      <c r="T35" s="1275"/>
      <c r="V35" s="482"/>
      <c r="W35" s="313" t="s">
        <v>399</v>
      </c>
      <c r="X35" s="482"/>
      <c r="Y35" s="482"/>
      <c r="Z35" s="482"/>
      <c r="AA35" s="482"/>
      <c r="AB35" s="515"/>
      <c r="AC35" s="515"/>
      <c r="AD35" s="515"/>
      <c r="AE35" s="520"/>
      <c r="AF35" s="479"/>
    </row>
    <row r="36" spans="2:35" ht="18.649999999999999" customHeight="1">
      <c r="B36" s="1264" t="s">
        <v>183</v>
      </c>
      <c r="C36" s="1265"/>
      <c r="D36" s="1265"/>
      <c r="E36" s="1265"/>
      <c r="F36" s="1265"/>
      <c r="G36" s="1265"/>
      <c r="H36" s="1266"/>
      <c r="I36" s="1267"/>
      <c r="J36" s="1268"/>
      <c r="K36" s="1268"/>
      <c r="L36" s="1269"/>
      <c r="M36" s="1273"/>
      <c r="N36" s="1276"/>
      <c r="O36" s="1276"/>
      <c r="P36" s="1277"/>
      <c r="Q36" s="1273"/>
      <c r="R36" s="1274"/>
      <c r="S36" s="1274"/>
      <c r="T36" s="1275"/>
      <c r="V36" s="482"/>
      <c r="W36" s="319" t="s">
        <v>403</v>
      </c>
      <c r="X36" s="482"/>
      <c r="Y36" s="482"/>
      <c r="Z36" s="482"/>
      <c r="AA36" s="482"/>
      <c r="AB36" s="515"/>
      <c r="AC36" s="515"/>
      <c r="AD36" s="515"/>
      <c r="AE36" s="520"/>
      <c r="AF36" s="479"/>
    </row>
    <row r="37" spans="2:35" ht="18.649999999999999" customHeight="1">
      <c r="B37" s="1264" t="s">
        <v>184</v>
      </c>
      <c r="C37" s="1265"/>
      <c r="D37" s="1265"/>
      <c r="E37" s="1265"/>
      <c r="F37" s="1265"/>
      <c r="G37" s="1265"/>
      <c r="H37" s="1266"/>
      <c r="I37" s="1267"/>
      <c r="J37" s="1268"/>
      <c r="K37" s="1268"/>
      <c r="L37" s="1269"/>
      <c r="M37" s="1270"/>
      <c r="N37" s="1271"/>
      <c r="O37" s="1271"/>
      <c r="P37" s="1272"/>
      <c r="Q37" s="1273"/>
      <c r="R37" s="1274"/>
      <c r="S37" s="1274"/>
      <c r="T37" s="1275"/>
      <c r="V37" s="482"/>
      <c r="W37" s="313" t="s">
        <v>400</v>
      </c>
      <c r="X37" s="482"/>
      <c r="Y37" s="482"/>
      <c r="Z37" s="482"/>
      <c r="AA37" s="482"/>
      <c r="AB37" s="515"/>
      <c r="AC37" s="515"/>
      <c r="AD37" s="515"/>
      <c r="AE37" s="520"/>
      <c r="AF37" s="479"/>
    </row>
    <row r="38" spans="2:35" ht="18.649999999999999" customHeight="1">
      <c r="B38" s="1264" t="s">
        <v>185</v>
      </c>
      <c r="C38" s="1265"/>
      <c r="D38" s="1265"/>
      <c r="E38" s="1265"/>
      <c r="F38" s="1265"/>
      <c r="G38" s="1265"/>
      <c r="H38" s="1266"/>
      <c r="I38" s="1267"/>
      <c r="J38" s="1268"/>
      <c r="K38" s="1268"/>
      <c r="L38" s="1269"/>
      <c r="M38" s="1273"/>
      <c r="N38" s="1276"/>
      <c r="O38" s="1276"/>
      <c r="P38" s="1277"/>
      <c r="Q38" s="1273"/>
      <c r="R38" s="1274"/>
      <c r="S38" s="1274"/>
      <c r="T38" s="1275"/>
      <c r="V38" s="482"/>
      <c r="W38" s="313" t="s">
        <v>401</v>
      </c>
      <c r="X38" s="482"/>
      <c r="Y38" s="482"/>
      <c r="Z38" s="482"/>
      <c r="AA38" s="482"/>
      <c r="AB38" s="515"/>
      <c r="AC38" s="515"/>
      <c r="AD38" s="515"/>
      <c r="AE38" s="520"/>
      <c r="AF38" s="479"/>
    </row>
    <row r="39" spans="2:35" ht="20.149999999999999" customHeight="1">
      <c r="B39" s="250" t="s">
        <v>186</v>
      </c>
      <c r="C39" s="251"/>
      <c r="D39" s="251"/>
      <c r="E39" s="251"/>
      <c r="F39" s="251"/>
      <c r="G39" s="252"/>
      <c r="H39" s="211" t="s">
        <v>195</v>
      </c>
      <c r="I39" s="1216">
        <f>SUM(I35:L38)</f>
        <v>0</v>
      </c>
      <c r="J39" s="1217"/>
      <c r="K39" s="1217"/>
      <c r="L39" s="1218"/>
      <c r="M39" s="1262" t="str">
        <f>IF(I24=I39,"一致 OK","不一致 NG : 助成事業に要する経費と資金調達金額とが不一致")</f>
        <v>一致 OK</v>
      </c>
      <c r="N39" s="1263"/>
      <c r="O39" s="1263"/>
      <c r="P39" s="1263"/>
      <c r="Q39" s="1263"/>
      <c r="R39" s="1263"/>
      <c r="S39" s="1263"/>
      <c r="T39" s="958"/>
      <c r="V39" s="482"/>
      <c r="W39" s="313" t="s">
        <v>402</v>
      </c>
      <c r="X39" s="482"/>
      <c r="Y39" s="482"/>
      <c r="Z39" s="482"/>
      <c r="AA39" s="482"/>
      <c r="AB39" s="515"/>
      <c r="AC39" s="515"/>
      <c r="AD39" s="515"/>
      <c r="AE39" s="520"/>
      <c r="AF39" s="479"/>
    </row>
    <row r="40" spans="2:35" ht="5.65" customHeight="1">
      <c r="L40" s="253"/>
      <c r="V40" s="482"/>
      <c r="W40" s="521" t="s">
        <v>404</v>
      </c>
      <c r="X40" s="482"/>
      <c r="Y40" s="482"/>
      <c r="Z40" s="482"/>
      <c r="AA40" s="482"/>
      <c r="AB40" s="515"/>
      <c r="AC40" s="515"/>
      <c r="AD40" s="515"/>
      <c r="AE40" s="520"/>
      <c r="AF40" s="479"/>
    </row>
    <row r="41" spans="2:35" s="3" customFormat="1" ht="22.5" customHeight="1">
      <c r="B41" s="246" t="s">
        <v>187</v>
      </c>
      <c r="C41" s="1231" t="s">
        <v>189</v>
      </c>
      <c r="D41" s="1231"/>
      <c r="E41" s="1231"/>
      <c r="F41" s="1231"/>
      <c r="G41" s="1231"/>
      <c r="H41" s="1231"/>
      <c r="I41" s="1231"/>
      <c r="J41" s="1231"/>
      <c r="K41" s="1231"/>
      <c r="L41" s="1231"/>
      <c r="M41" s="1231"/>
      <c r="N41" s="1231"/>
      <c r="O41" s="1231"/>
      <c r="P41" s="1231"/>
      <c r="Q41" s="1231"/>
      <c r="R41" s="1231"/>
      <c r="S41" s="1231"/>
      <c r="T41" s="1231"/>
      <c r="U41" s="40"/>
      <c r="V41" s="482"/>
      <c r="W41" s="482"/>
      <c r="X41" s="482"/>
      <c r="Y41" s="482"/>
      <c r="Z41" s="482"/>
      <c r="AA41" s="482"/>
      <c r="AB41" s="519"/>
      <c r="AC41" s="519"/>
      <c r="AD41" s="519"/>
      <c r="AE41" s="482"/>
      <c r="AF41" s="313"/>
      <c r="AG41" s="313"/>
      <c r="AH41" s="313"/>
      <c r="AI41" s="313"/>
    </row>
    <row r="42" spans="2:35" s="3" customFormat="1" ht="13.5" customHeight="1">
      <c r="B42" s="246" t="s">
        <v>175</v>
      </c>
      <c r="C42" s="1231" t="s">
        <v>190</v>
      </c>
      <c r="D42" s="1231"/>
      <c r="E42" s="1231"/>
      <c r="F42" s="1231"/>
      <c r="G42" s="1231"/>
      <c r="H42" s="1231"/>
      <c r="I42" s="1231"/>
      <c r="J42" s="1231"/>
      <c r="K42" s="1231"/>
      <c r="L42" s="1231"/>
      <c r="M42" s="1231"/>
      <c r="N42" s="1231"/>
      <c r="O42" s="1231"/>
      <c r="P42" s="1231"/>
      <c r="Q42" s="1231"/>
      <c r="R42" s="1231"/>
      <c r="S42" s="1231"/>
      <c r="T42" s="1231"/>
      <c r="U42" s="40"/>
      <c r="V42" s="482"/>
      <c r="W42" s="482"/>
      <c r="X42" s="482"/>
      <c r="Y42" s="482"/>
      <c r="Z42" s="482"/>
      <c r="AA42" s="482"/>
      <c r="AB42" s="519"/>
      <c r="AC42" s="519"/>
      <c r="AD42" s="519"/>
      <c r="AE42" s="482"/>
      <c r="AF42" s="313"/>
      <c r="AG42" s="313"/>
      <c r="AH42" s="313"/>
      <c r="AI42" s="313"/>
    </row>
    <row r="43" spans="2:35" ht="6" customHeight="1">
      <c r="B43" s="254"/>
      <c r="C43" s="247"/>
      <c r="D43" s="247"/>
      <c r="E43" s="247"/>
      <c r="F43" s="247"/>
      <c r="G43" s="247"/>
      <c r="H43" s="247"/>
      <c r="I43" s="247"/>
      <c r="J43" s="247"/>
      <c r="K43" s="247"/>
      <c r="L43" s="247"/>
      <c r="M43" s="247"/>
      <c r="N43" s="247"/>
      <c r="O43" s="247"/>
      <c r="P43" s="247"/>
      <c r="Q43" s="247"/>
      <c r="R43" s="247"/>
      <c r="S43" s="247"/>
      <c r="T43" s="247"/>
      <c r="V43" s="482"/>
      <c r="W43" s="482"/>
      <c r="X43" s="482"/>
      <c r="Y43" s="482"/>
      <c r="Z43" s="482"/>
      <c r="AA43" s="482"/>
      <c r="AB43" s="515"/>
      <c r="AC43" s="515"/>
      <c r="AD43" s="515"/>
      <c r="AE43" s="520"/>
      <c r="AF43" s="479"/>
    </row>
    <row r="44" spans="2:35" ht="16.5" customHeight="1">
      <c r="B44" s="248" t="s">
        <v>203</v>
      </c>
      <c r="C44" s="255" t="s">
        <v>500</v>
      </c>
      <c r="D44" s="255"/>
      <c r="E44" s="255"/>
      <c r="F44" s="255"/>
      <c r="G44" s="256"/>
      <c r="H44" s="256"/>
      <c r="I44" s="230"/>
      <c r="T44" s="233"/>
      <c r="V44" s="482"/>
      <c r="W44" s="482"/>
      <c r="X44" s="482"/>
      <c r="Y44" s="482"/>
      <c r="Z44" s="482"/>
      <c r="AA44" s="482"/>
      <c r="AB44" s="515"/>
      <c r="AC44" s="515"/>
      <c r="AD44" s="515"/>
      <c r="AE44" s="520"/>
      <c r="AF44" s="479"/>
    </row>
    <row r="45" spans="2:35" s="1" customFormat="1" ht="14.25" customHeight="1">
      <c r="B45" s="39"/>
      <c r="C45" s="169"/>
      <c r="D45" s="257" t="s">
        <v>498</v>
      </c>
      <c r="E45" s="258"/>
      <c r="F45" s="258"/>
      <c r="G45" s="258"/>
      <c r="H45" s="258"/>
      <c r="I45" s="259"/>
      <c r="J45" s="260"/>
      <c r="K45" s="153"/>
      <c r="L45" s="153"/>
      <c r="M45" s="153"/>
      <c r="N45" s="153"/>
      <c r="O45" s="153"/>
      <c r="P45" s="153"/>
      <c r="Q45" s="153"/>
      <c r="R45" s="153"/>
      <c r="S45" s="153"/>
      <c r="T45" s="322" t="b">
        <v>0</v>
      </c>
      <c r="U45" s="53"/>
      <c r="V45" s="483"/>
      <c r="W45" s="522" t="s">
        <v>534</v>
      </c>
      <c r="X45" s="483"/>
      <c r="Y45" s="483"/>
      <c r="Z45" s="483"/>
      <c r="AA45" s="483"/>
      <c r="AB45" s="523"/>
      <c r="AC45" s="523"/>
      <c r="AD45" s="523"/>
      <c r="AE45" s="483"/>
      <c r="AF45" s="311"/>
      <c r="AG45" s="311"/>
      <c r="AH45" s="311"/>
      <c r="AI45" s="311"/>
    </row>
    <row r="46" spans="2:35" s="1" customFormat="1" ht="14.25" customHeight="1">
      <c r="B46" s="39"/>
      <c r="C46" s="169"/>
      <c r="D46" s="257" t="s">
        <v>499</v>
      </c>
      <c r="E46" s="258"/>
      <c r="F46" s="258"/>
      <c r="G46" s="258"/>
      <c r="H46" s="258"/>
      <c r="I46" s="259"/>
      <c r="J46" s="260"/>
      <c r="K46" s="153"/>
      <c r="L46" s="153"/>
      <c r="M46" s="153"/>
      <c r="N46" s="153"/>
      <c r="O46" s="153"/>
      <c r="P46" s="153"/>
      <c r="Q46" s="153"/>
      <c r="R46" s="153"/>
      <c r="S46" s="153"/>
      <c r="T46" s="322" t="b">
        <v>0</v>
      </c>
      <c r="U46" s="53"/>
      <c r="V46" s="483"/>
      <c r="W46" s="522" t="s">
        <v>535</v>
      </c>
      <c r="X46" s="483"/>
      <c r="Y46" s="483"/>
      <c r="Z46" s="483"/>
      <c r="AA46" s="483"/>
      <c r="AB46" s="523"/>
      <c r="AC46" s="523"/>
      <c r="AD46" s="523"/>
      <c r="AE46" s="483"/>
      <c r="AF46" s="311"/>
      <c r="AG46" s="311"/>
      <c r="AH46" s="311"/>
      <c r="AI46" s="311"/>
    </row>
    <row r="47" spans="2:35" ht="16.5" customHeight="1">
      <c r="B47" s="248" t="s">
        <v>497</v>
      </c>
      <c r="C47" s="256"/>
      <c r="D47" s="255" t="s">
        <v>202</v>
      </c>
      <c r="E47" s="256"/>
      <c r="F47" s="256"/>
      <c r="G47" s="256"/>
      <c r="H47" s="256"/>
      <c r="I47" s="230"/>
      <c r="T47" s="233" t="s">
        <v>496</v>
      </c>
      <c r="V47" s="482"/>
      <c r="W47" s="482"/>
      <c r="X47" s="482"/>
      <c r="Y47" s="482"/>
      <c r="Z47" s="482"/>
      <c r="AA47" s="482"/>
      <c r="AB47" s="515"/>
      <c r="AC47" s="515"/>
      <c r="AD47" s="515"/>
      <c r="AE47" s="520"/>
      <c r="AF47" s="479"/>
    </row>
    <row r="48" spans="2:35" ht="12.65" customHeight="1">
      <c r="B48" s="1252" t="s">
        <v>191</v>
      </c>
      <c r="C48" s="1253"/>
      <c r="D48" s="1256" t="s">
        <v>192</v>
      </c>
      <c r="E48" s="1256"/>
      <c r="F48" s="1256"/>
      <c r="G48" s="1256"/>
      <c r="H48" s="1253"/>
      <c r="I48" s="1258" t="s">
        <v>166</v>
      </c>
      <c r="J48" s="1259"/>
      <c r="K48" s="1259"/>
      <c r="L48" s="1259"/>
      <c r="M48" s="1252" t="s">
        <v>193</v>
      </c>
      <c r="N48" s="1256"/>
      <c r="O48" s="1256"/>
      <c r="P48" s="1253"/>
      <c r="Q48" s="1260" t="s">
        <v>194</v>
      </c>
      <c r="R48" s="1260"/>
      <c r="S48" s="1260"/>
      <c r="T48" s="1260"/>
      <c r="V48" s="482"/>
      <c r="W48" s="482"/>
      <c r="X48" s="482"/>
      <c r="Y48" s="482"/>
      <c r="Z48" s="482"/>
      <c r="AA48" s="482"/>
      <c r="AB48" s="515"/>
      <c r="AC48" s="515"/>
      <c r="AD48" s="515"/>
      <c r="AE48" s="520"/>
      <c r="AF48" s="479"/>
    </row>
    <row r="49" spans="2:40" ht="11.25" customHeight="1">
      <c r="B49" s="1254"/>
      <c r="C49" s="1255"/>
      <c r="D49" s="1257"/>
      <c r="E49" s="1257"/>
      <c r="F49" s="1257"/>
      <c r="G49" s="1257"/>
      <c r="H49" s="1255"/>
      <c r="I49" s="235"/>
      <c r="J49" s="1261" t="s">
        <v>168</v>
      </c>
      <c r="K49" s="1261"/>
      <c r="L49" s="261"/>
      <c r="M49" s="1254"/>
      <c r="N49" s="1257"/>
      <c r="O49" s="1257"/>
      <c r="P49" s="1255"/>
      <c r="Q49" s="1260"/>
      <c r="R49" s="1260"/>
      <c r="S49" s="1260"/>
      <c r="T49" s="1260"/>
      <c r="V49" s="482"/>
      <c r="W49" s="482"/>
      <c r="X49" s="482"/>
      <c r="Y49" s="482"/>
      <c r="Z49" s="482"/>
      <c r="AA49" s="482"/>
      <c r="AB49" s="515"/>
      <c r="AC49" s="515"/>
      <c r="AD49" s="515"/>
      <c r="AE49" s="520"/>
      <c r="AF49" s="479"/>
    </row>
    <row r="50" spans="2:40" ht="18.75" customHeight="1">
      <c r="B50" s="1238"/>
      <c r="C50" s="1239"/>
      <c r="D50" s="1238"/>
      <c r="E50" s="1239"/>
      <c r="F50" s="1239"/>
      <c r="G50" s="1239"/>
      <c r="H50" s="1240"/>
      <c r="I50" s="1241"/>
      <c r="J50" s="1242"/>
      <c r="K50" s="1242"/>
      <c r="L50" s="1242"/>
      <c r="M50" s="1243"/>
      <c r="N50" s="1244"/>
      <c r="O50" s="1244"/>
      <c r="P50" s="1245"/>
      <c r="Q50" s="1247"/>
      <c r="R50" s="1247"/>
      <c r="S50" s="1247"/>
      <c r="T50" s="1247"/>
      <c r="V50" s="482"/>
      <c r="W50" s="482"/>
      <c r="X50" s="482"/>
      <c r="Y50" s="482"/>
      <c r="Z50" s="482"/>
      <c r="AA50" s="482"/>
      <c r="AB50" s="515"/>
      <c r="AC50" s="515"/>
      <c r="AD50" s="515"/>
      <c r="AE50" s="520"/>
      <c r="AF50" s="479"/>
    </row>
    <row r="51" spans="2:40" ht="18.75" customHeight="1">
      <c r="B51" s="1238"/>
      <c r="C51" s="1239"/>
      <c r="D51" s="1238"/>
      <c r="E51" s="1239"/>
      <c r="F51" s="1239"/>
      <c r="G51" s="1239"/>
      <c r="H51" s="1240"/>
      <c r="I51" s="1241"/>
      <c r="J51" s="1242"/>
      <c r="K51" s="1242"/>
      <c r="L51" s="1242"/>
      <c r="M51" s="1243"/>
      <c r="N51" s="1244"/>
      <c r="O51" s="1244"/>
      <c r="P51" s="1245"/>
      <c r="Q51" s="1247"/>
      <c r="R51" s="1247"/>
      <c r="S51" s="1247"/>
      <c r="T51" s="1247"/>
      <c r="V51" s="482"/>
      <c r="W51" s="482"/>
      <c r="X51" s="482"/>
      <c r="Y51" s="482"/>
      <c r="Z51" s="482"/>
      <c r="AA51" s="482"/>
      <c r="AB51" s="515"/>
      <c r="AC51" s="515"/>
      <c r="AD51" s="515"/>
      <c r="AE51" s="520"/>
      <c r="AF51" s="479"/>
    </row>
    <row r="52" spans="2:40" ht="18.75" customHeight="1">
      <c r="B52" s="1238"/>
      <c r="C52" s="1239"/>
      <c r="D52" s="1238"/>
      <c r="E52" s="1239"/>
      <c r="F52" s="1239"/>
      <c r="G52" s="1239"/>
      <c r="H52" s="1240"/>
      <c r="I52" s="1241"/>
      <c r="J52" s="1242"/>
      <c r="K52" s="1242"/>
      <c r="L52" s="1242"/>
      <c r="M52" s="1243"/>
      <c r="N52" s="1244"/>
      <c r="O52" s="1244"/>
      <c r="P52" s="1245"/>
      <c r="Q52" s="1246"/>
      <c r="R52" s="1247"/>
      <c r="S52" s="1247"/>
      <c r="T52" s="1247"/>
      <c r="V52" s="482"/>
      <c r="W52" s="482"/>
      <c r="X52" s="482"/>
      <c r="Y52" s="482"/>
      <c r="Z52" s="482"/>
      <c r="AA52" s="482"/>
      <c r="AB52" s="515"/>
      <c r="AC52" s="515"/>
      <c r="AD52" s="515"/>
      <c r="AE52" s="520"/>
      <c r="AF52" s="479"/>
    </row>
    <row r="53" spans="2:40" ht="18.75" customHeight="1">
      <c r="B53" s="209" t="s">
        <v>186</v>
      </c>
      <c r="C53" s="210"/>
      <c r="D53" s="210"/>
      <c r="E53" s="210"/>
      <c r="F53" s="210"/>
      <c r="G53" s="210"/>
      <c r="H53" s="211" t="s">
        <v>546</v>
      </c>
      <c r="I53" s="1216">
        <f>SUM(I50:L52)</f>
        <v>0</v>
      </c>
      <c r="J53" s="1217"/>
      <c r="K53" s="1217"/>
      <c r="L53" s="1217"/>
      <c r="M53" s="1248"/>
      <c r="N53" s="1249"/>
      <c r="O53" s="1249"/>
      <c r="P53" s="1250"/>
      <c r="Q53" s="1251"/>
      <c r="R53" s="1251"/>
      <c r="S53" s="1251"/>
      <c r="T53" s="1251"/>
      <c r="V53" s="482"/>
      <c r="W53" s="482"/>
      <c r="X53" s="482"/>
      <c r="Y53" s="482"/>
      <c r="Z53" s="482"/>
      <c r="AA53" s="482"/>
      <c r="AB53" s="515"/>
      <c r="AC53" s="515"/>
      <c r="AD53" s="515"/>
      <c r="AE53" s="520"/>
      <c r="AF53" s="479"/>
    </row>
    <row r="54" spans="2:40" ht="3.75" customHeight="1">
      <c r="B54" s="262"/>
      <c r="C54" s="262"/>
      <c r="D54" s="262"/>
      <c r="E54" s="262"/>
      <c r="F54" s="262"/>
      <c r="G54" s="262"/>
      <c r="H54" s="232"/>
      <c r="I54" s="41"/>
      <c r="J54" s="41"/>
      <c r="K54" s="41"/>
      <c r="L54" s="41"/>
      <c r="M54" s="263"/>
      <c r="N54" s="264"/>
      <c r="O54" s="264"/>
      <c r="P54" s="264"/>
      <c r="Q54" s="265"/>
      <c r="R54" s="265"/>
      <c r="S54" s="265"/>
      <c r="T54" s="265"/>
      <c r="V54" s="482"/>
      <c r="W54" s="482"/>
      <c r="X54" s="482"/>
      <c r="Y54" s="482"/>
      <c r="Z54" s="482"/>
      <c r="AA54" s="482"/>
      <c r="AB54" s="515"/>
      <c r="AC54" s="515"/>
      <c r="AD54" s="515"/>
      <c r="AE54" s="520"/>
      <c r="AF54" s="479"/>
    </row>
    <row r="55" spans="2:40" ht="23.25" customHeight="1">
      <c r="B55" s="246" t="s">
        <v>547</v>
      </c>
      <c r="C55" s="1231" t="s">
        <v>414</v>
      </c>
      <c r="D55" s="1231"/>
      <c r="E55" s="1231"/>
      <c r="F55" s="1231"/>
      <c r="G55" s="1231"/>
      <c r="H55" s="1231"/>
      <c r="I55" s="1231"/>
      <c r="J55" s="1231"/>
      <c r="K55" s="1231"/>
      <c r="L55" s="1231"/>
      <c r="M55" s="1231"/>
      <c r="N55" s="1231"/>
      <c r="O55" s="1231"/>
      <c r="P55" s="1231"/>
      <c r="Q55" s="1231"/>
      <c r="R55" s="1231"/>
      <c r="S55" s="1231"/>
      <c r="T55" s="1231"/>
      <c r="V55" s="482"/>
      <c r="W55" s="482"/>
      <c r="X55" s="482"/>
      <c r="Y55" s="482"/>
      <c r="Z55" s="482"/>
      <c r="AA55" s="482"/>
      <c r="AB55" s="515"/>
      <c r="AC55" s="515"/>
      <c r="AD55" s="515"/>
      <c r="AE55" s="520"/>
      <c r="AF55" s="479"/>
    </row>
    <row r="56" spans="2:40" ht="4.5" customHeight="1">
      <c r="B56" s="262"/>
      <c r="C56" s="262"/>
      <c r="D56" s="262"/>
      <c r="E56" s="262"/>
      <c r="F56" s="262"/>
      <c r="G56" s="262"/>
      <c r="H56" s="262"/>
      <c r="I56" s="41"/>
      <c r="J56" s="41"/>
      <c r="K56" s="41"/>
      <c r="L56" s="41"/>
      <c r="M56" s="266"/>
      <c r="N56" s="267"/>
      <c r="O56" s="267"/>
      <c r="P56" s="267"/>
      <c r="Q56" s="267"/>
      <c r="V56" s="482"/>
      <c r="W56" s="482"/>
      <c r="X56" s="482"/>
      <c r="Y56" s="482"/>
      <c r="Z56" s="482"/>
      <c r="AA56" s="482"/>
      <c r="AB56" s="515"/>
      <c r="AC56" s="515"/>
      <c r="AD56" s="515"/>
      <c r="AE56" s="520"/>
      <c r="AF56" s="479"/>
    </row>
    <row r="57" spans="2:40" s="3" customFormat="1" ht="14.25" customHeight="1">
      <c r="U57" s="40"/>
      <c r="V57" s="482"/>
      <c r="W57" s="494"/>
      <c r="X57" s="494"/>
      <c r="Y57" s="494"/>
      <c r="Z57" s="494"/>
      <c r="AA57" s="494"/>
      <c r="AB57" s="495"/>
      <c r="AC57" s="495"/>
      <c r="AD57" s="495"/>
      <c r="AE57" s="494"/>
      <c r="AF57" s="493"/>
      <c r="AG57" s="313"/>
      <c r="AH57" s="313"/>
      <c r="AI57" s="313"/>
    </row>
    <row r="58" spans="2:40" ht="3.75" customHeight="1"/>
    <row r="59" spans="2:40" ht="6.75" customHeight="1"/>
    <row r="60" spans="2:40" ht="6.75" customHeight="1"/>
    <row r="61" spans="2:40" ht="6.75" customHeight="1"/>
    <row r="62" spans="2:40" s="301" customFormat="1" ht="6.75" customHeight="1">
      <c r="V62" s="314"/>
      <c r="W62" s="496"/>
      <c r="X62" s="496"/>
      <c r="Y62" s="496"/>
      <c r="Z62" s="496"/>
      <c r="AA62" s="496"/>
      <c r="AB62" s="496"/>
      <c r="AC62" s="496"/>
      <c r="AD62" s="496"/>
      <c r="AE62" s="496"/>
      <c r="AF62" s="496"/>
      <c r="AG62" s="314"/>
      <c r="AH62" s="314"/>
      <c r="AI62" s="314"/>
      <c r="AJ62" s="315"/>
      <c r="AK62" s="314"/>
      <c r="AL62" s="314"/>
      <c r="AM62" s="314"/>
      <c r="AN62" s="314"/>
    </row>
    <row r="63" spans="2:40" s="301" customFormat="1" ht="20.25" customHeight="1">
      <c r="B63" s="301" t="s">
        <v>533</v>
      </c>
      <c r="V63" s="314"/>
      <c r="W63" s="496"/>
      <c r="X63" s="496"/>
      <c r="Y63" s="496"/>
      <c r="Z63" s="496"/>
      <c r="AA63" s="496"/>
      <c r="AB63" s="496"/>
      <c r="AC63" s="496"/>
      <c r="AD63" s="496"/>
      <c r="AE63" s="496"/>
      <c r="AF63" s="496"/>
      <c r="AG63" s="314"/>
      <c r="AH63" s="314"/>
      <c r="AI63" s="314"/>
      <c r="AJ63" s="315"/>
      <c r="AK63" s="314"/>
      <c r="AL63" s="314"/>
      <c r="AM63" s="314"/>
      <c r="AN63" s="314"/>
    </row>
    <row r="64" spans="2:40" ht="20.149999999999999" customHeight="1"/>
    <row r="65" ht="20.149999999999999" customHeight="1"/>
    <row r="66" ht="20.149999999999999" customHeight="1"/>
    <row r="67" ht="20.149999999999999" customHeight="1"/>
    <row r="68" ht="20.149999999999999" customHeight="1"/>
    <row r="69" ht="20.149999999999999" customHeight="1"/>
    <row r="70" ht="20.149999999999999" customHeight="1"/>
    <row r="71" ht="20.149999999999999" customHeight="1"/>
    <row r="72" ht="20.149999999999999" customHeight="1"/>
    <row r="73" ht="20.149999999999999" customHeight="1"/>
    <row r="74" ht="20.149999999999999" customHeight="1"/>
    <row r="75" ht="20.149999999999999" customHeight="1"/>
    <row r="76" ht="20.149999999999999" customHeight="1"/>
    <row r="77" ht="20.149999999999999" customHeight="1"/>
    <row r="78" ht="20.149999999999999" customHeight="1"/>
    <row r="79" ht="20.149999999999999" customHeight="1"/>
    <row r="80" ht="20.149999999999999" customHeight="1"/>
    <row r="81" ht="20.149999999999999" customHeight="1"/>
    <row r="82" ht="20.149999999999999" customHeight="1"/>
    <row r="83" ht="20.149999999999999" customHeight="1"/>
    <row r="84" ht="20.149999999999999" customHeight="1"/>
    <row r="85" ht="20.149999999999999" customHeight="1"/>
    <row r="86" ht="20.149999999999999" customHeight="1"/>
    <row r="87" ht="20.149999999999999" customHeight="1"/>
    <row r="88" ht="20.149999999999999" customHeight="1"/>
    <row r="89" ht="20.149999999999999" customHeight="1"/>
    <row r="90" ht="20.149999999999999" customHeight="1"/>
    <row r="91" ht="20.149999999999999" customHeight="1"/>
    <row r="92" ht="20.149999999999999" customHeight="1"/>
    <row r="93" ht="20.149999999999999" customHeight="1"/>
    <row r="94" ht="20.149999999999999" customHeight="1"/>
    <row r="95" ht="20.149999999999999" customHeight="1"/>
    <row r="96" ht="20.149999999999999" customHeight="1"/>
    <row r="97" ht="20.149999999999999" customHeight="1"/>
    <row r="98" ht="20.149999999999999" customHeight="1"/>
    <row r="99" ht="20.149999999999999" customHeight="1"/>
    <row r="100" ht="20.149999999999999" customHeight="1"/>
    <row r="101" ht="20.149999999999999" customHeight="1"/>
    <row r="102" ht="20.149999999999999" customHeight="1"/>
    <row r="103" ht="20.149999999999999" customHeight="1"/>
    <row r="104" ht="20.149999999999999" customHeight="1"/>
    <row r="105" ht="20.149999999999999" customHeight="1"/>
    <row r="106" ht="20.149999999999999" customHeight="1"/>
    <row r="107" ht="20.149999999999999" customHeight="1"/>
    <row r="108" ht="20.149999999999999" customHeight="1"/>
    <row r="109" ht="20.149999999999999" customHeight="1"/>
    <row r="110" ht="20.149999999999999" customHeight="1"/>
    <row r="111" ht="20.149999999999999" customHeight="1"/>
    <row r="112" ht="20.149999999999999" customHeight="1"/>
    <row r="113" ht="20.149999999999999" customHeight="1"/>
    <row r="114" ht="20.149999999999999" customHeight="1"/>
    <row r="115" ht="20.149999999999999" customHeight="1"/>
    <row r="116" ht="20.149999999999999" customHeight="1"/>
    <row r="117" ht="20.149999999999999" customHeight="1"/>
    <row r="118" ht="20.149999999999999" customHeight="1"/>
    <row r="119" ht="20.149999999999999" customHeight="1"/>
    <row r="120" ht="20.149999999999999" customHeight="1"/>
    <row r="121" ht="20.149999999999999" customHeight="1"/>
    <row r="122" ht="20.149999999999999" customHeight="1"/>
    <row r="123" ht="20.149999999999999" customHeight="1"/>
    <row r="124" ht="20.149999999999999" customHeight="1"/>
    <row r="125" ht="20.149999999999999" customHeight="1"/>
    <row r="126" ht="20.149999999999999" customHeight="1"/>
    <row r="127" ht="20.149999999999999" customHeight="1"/>
    <row r="128" ht="20.149999999999999" customHeight="1"/>
    <row r="129" ht="20.149999999999999" customHeight="1"/>
    <row r="130" ht="20.149999999999999" customHeight="1"/>
    <row r="131" ht="20.149999999999999" customHeight="1"/>
    <row r="132" ht="20.149999999999999" customHeight="1"/>
    <row r="133" ht="20.149999999999999" customHeight="1"/>
    <row r="134" ht="20.149999999999999" customHeight="1"/>
    <row r="135" ht="20.149999999999999" customHeight="1"/>
    <row r="136" ht="20.149999999999999" customHeight="1"/>
    <row r="137" ht="20.149999999999999" customHeight="1"/>
    <row r="138" ht="20.149999999999999" customHeight="1"/>
    <row r="139" ht="20.149999999999999" customHeight="1"/>
    <row r="140" ht="20.149999999999999" customHeight="1"/>
    <row r="141" ht="20.149999999999999" customHeight="1"/>
    <row r="142" ht="20.149999999999999" customHeight="1"/>
    <row r="143" ht="20.149999999999999" customHeight="1"/>
    <row r="144" ht="20.149999999999999" customHeight="1"/>
    <row r="145" ht="20.149999999999999" customHeight="1"/>
    <row r="146" ht="20.149999999999999" customHeight="1"/>
    <row r="147" ht="20.149999999999999" customHeight="1"/>
    <row r="148" ht="20.149999999999999" customHeight="1"/>
    <row r="149" ht="20.149999999999999" customHeight="1"/>
    <row r="150" ht="20.149999999999999" customHeight="1"/>
    <row r="151" ht="20.149999999999999" customHeight="1"/>
    <row r="152" ht="20.149999999999999" customHeight="1"/>
    <row r="153" ht="20.149999999999999" customHeight="1"/>
    <row r="154" ht="20.149999999999999" customHeight="1"/>
    <row r="155" ht="20.149999999999999" customHeight="1"/>
    <row r="156" ht="20.149999999999999" customHeight="1"/>
    <row r="157" ht="20.149999999999999" customHeight="1"/>
    <row r="158" ht="20.149999999999999" customHeight="1"/>
    <row r="159" ht="20.149999999999999" customHeight="1"/>
    <row r="160" ht="20.149999999999999" customHeight="1"/>
    <row r="161" ht="20.149999999999999" customHeight="1"/>
    <row r="162" ht="20.149999999999999" customHeight="1"/>
    <row r="163" ht="20.149999999999999" customHeight="1"/>
    <row r="164" ht="20.149999999999999" customHeight="1"/>
    <row r="165" ht="20.149999999999999" customHeight="1"/>
    <row r="166" ht="20.149999999999999" customHeight="1"/>
    <row r="167" ht="20.149999999999999" customHeight="1"/>
    <row r="168" ht="20.149999999999999" customHeight="1"/>
    <row r="169" ht="20.149999999999999" customHeight="1"/>
    <row r="170" ht="20.149999999999999" customHeight="1"/>
    <row r="171" ht="20.149999999999999" customHeight="1"/>
    <row r="172" ht="20.149999999999999" customHeight="1"/>
    <row r="173" ht="20.149999999999999" customHeight="1"/>
    <row r="174" ht="20.149999999999999" customHeight="1"/>
    <row r="175" ht="20.149999999999999" customHeight="1"/>
    <row r="176" ht="20.149999999999999" customHeight="1"/>
    <row r="177" ht="20.149999999999999" customHeight="1"/>
    <row r="178" ht="20.149999999999999" customHeight="1"/>
    <row r="179" ht="20.149999999999999" customHeight="1"/>
    <row r="180" ht="20.149999999999999" customHeight="1"/>
    <row r="181" ht="20.149999999999999" customHeight="1"/>
    <row r="182" ht="20.149999999999999" customHeight="1"/>
    <row r="183" ht="20.149999999999999" customHeight="1"/>
    <row r="184" ht="20.149999999999999" customHeight="1"/>
    <row r="185" ht="20.149999999999999" customHeight="1"/>
    <row r="186" ht="20.149999999999999" customHeight="1"/>
    <row r="187" ht="20.149999999999999" customHeight="1"/>
    <row r="188" ht="20.149999999999999" customHeight="1"/>
    <row r="189" ht="20.149999999999999" customHeight="1"/>
    <row r="190" ht="20.149999999999999" customHeight="1"/>
    <row r="191" ht="20.149999999999999" customHeight="1"/>
    <row r="192" ht="20.149999999999999" customHeight="1"/>
    <row r="193" ht="20.149999999999999" customHeight="1"/>
    <row r="194" ht="20.149999999999999" customHeight="1"/>
    <row r="195" ht="20.149999999999999" customHeight="1"/>
    <row r="196" ht="20.149999999999999" customHeight="1"/>
    <row r="197" ht="20.149999999999999" customHeight="1"/>
    <row r="198" ht="20.149999999999999" customHeight="1"/>
    <row r="199" ht="20.149999999999999" customHeight="1"/>
    <row r="200" ht="20.149999999999999" customHeight="1"/>
    <row r="201" ht="20.149999999999999" customHeight="1"/>
    <row r="202" ht="20.149999999999999" customHeight="1"/>
    <row r="203" ht="20.149999999999999" customHeight="1"/>
    <row r="204" ht="20.149999999999999" customHeight="1"/>
    <row r="205" ht="20.149999999999999" customHeight="1"/>
    <row r="206" ht="20.149999999999999" customHeight="1"/>
    <row r="207" ht="20.149999999999999" customHeight="1"/>
    <row r="208" ht="20.149999999999999" customHeight="1"/>
    <row r="209" ht="20.149999999999999" customHeight="1"/>
    <row r="210" ht="20.149999999999999" customHeight="1"/>
    <row r="211" ht="20.149999999999999" customHeight="1"/>
    <row r="212" ht="20.149999999999999" customHeight="1"/>
    <row r="213" ht="20.149999999999999" customHeight="1"/>
    <row r="214" ht="20.149999999999999" customHeight="1"/>
    <row r="215" ht="20.149999999999999" customHeight="1"/>
    <row r="216" ht="20.149999999999999" customHeight="1"/>
    <row r="217" ht="20.149999999999999" customHeight="1"/>
    <row r="218" ht="20.149999999999999" customHeight="1"/>
    <row r="219" ht="20.149999999999999" customHeight="1"/>
    <row r="220" ht="20.149999999999999" customHeight="1"/>
  </sheetData>
  <sheetProtection algorithmName="SHA-512" hashValue="4SQlgcGWBVffMBIrM9kyDXxFMhXvCWOLGifF5legZK75lYRr+yElQVDbfa01+fqGmeAUD0s26LerDdKFL6PjlA==" saltValue="lHSAJ7HO26wohkAJ8+daSw==" spinCount="100000" sheet="1" objects="1" scenarios="1"/>
  <autoFilter ref="B18:AN26" xr:uid="{00000000-0009-0000-0000-000005000000}">
    <filterColumn colId="19">
      <filters blank="1">
        <filter val="1"/>
      </filters>
    </filterColumn>
    <filterColumn colId="20">
      <customFilters>
        <customFilter operator="notEqual" val="0"/>
      </customFilters>
    </filterColumn>
  </autoFilter>
  <mergeCells count="94">
    <mergeCell ref="B23:G23"/>
    <mergeCell ref="I23:L23"/>
    <mergeCell ref="M23:P23"/>
    <mergeCell ref="Q23:T23"/>
    <mergeCell ref="I12:J12"/>
    <mergeCell ref="B16:H17"/>
    <mergeCell ref="I16:L16"/>
    <mergeCell ref="M16:P16"/>
    <mergeCell ref="Q16:T16"/>
    <mergeCell ref="J17:K17"/>
    <mergeCell ref="N17:O17"/>
    <mergeCell ref="Q17:S17"/>
    <mergeCell ref="B22:G22"/>
    <mergeCell ref="M19:P19"/>
    <mergeCell ref="M20:P20"/>
    <mergeCell ref="I20:L20"/>
    <mergeCell ref="R25:T25"/>
    <mergeCell ref="AB26:AD26"/>
    <mergeCell ref="C28:T28"/>
    <mergeCell ref="C29:T29"/>
    <mergeCell ref="C30:T30"/>
    <mergeCell ref="C27:T27"/>
    <mergeCell ref="B34:H34"/>
    <mergeCell ref="I34:L34"/>
    <mergeCell ref="M34:P34"/>
    <mergeCell ref="Q34:T34"/>
    <mergeCell ref="C31:T31"/>
    <mergeCell ref="B35:H35"/>
    <mergeCell ref="I35:L35"/>
    <mergeCell ref="M35:P35"/>
    <mergeCell ref="Q35:T35"/>
    <mergeCell ref="B36:H36"/>
    <mergeCell ref="I36:L36"/>
    <mergeCell ref="M36:P36"/>
    <mergeCell ref="Q36:T36"/>
    <mergeCell ref="B37:H37"/>
    <mergeCell ref="I37:L37"/>
    <mergeCell ref="M37:P37"/>
    <mergeCell ref="Q37:T37"/>
    <mergeCell ref="B38:H38"/>
    <mergeCell ref="I38:L38"/>
    <mergeCell ref="M38:P38"/>
    <mergeCell ref="Q38:T38"/>
    <mergeCell ref="I39:L39"/>
    <mergeCell ref="C41:T41"/>
    <mergeCell ref="C42:T42"/>
    <mergeCell ref="B48:C49"/>
    <mergeCell ref="D48:H49"/>
    <mergeCell ref="I48:L48"/>
    <mergeCell ref="M48:P49"/>
    <mergeCell ref="Q48:T49"/>
    <mergeCell ref="J49:K49"/>
    <mergeCell ref="M39:T39"/>
    <mergeCell ref="D50:H50"/>
    <mergeCell ref="I50:L50"/>
    <mergeCell ref="M50:P50"/>
    <mergeCell ref="Q50:T50"/>
    <mergeCell ref="B51:C51"/>
    <mergeCell ref="D51:H51"/>
    <mergeCell ref="I51:L51"/>
    <mergeCell ref="M51:P51"/>
    <mergeCell ref="Q51:T51"/>
    <mergeCell ref="B20:G20"/>
    <mergeCell ref="M21:P21"/>
    <mergeCell ref="C55:T55"/>
    <mergeCell ref="B24:G24"/>
    <mergeCell ref="I24:L24"/>
    <mergeCell ref="M24:P24"/>
    <mergeCell ref="Q24:T24"/>
    <mergeCell ref="B52:C52"/>
    <mergeCell ref="D52:H52"/>
    <mergeCell ref="I52:L52"/>
    <mergeCell ref="M52:P52"/>
    <mergeCell ref="Q52:T52"/>
    <mergeCell ref="I53:L53"/>
    <mergeCell ref="M53:P53"/>
    <mergeCell ref="Q53:T53"/>
    <mergeCell ref="B50:C50"/>
    <mergeCell ref="I21:L21"/>
    <mergeCell ref="B21:G21"/>
    <mergeCell ref="N1:U1"/>
    <mergeCell ref="M15:R15"/>
    <mergeCell ref="I22:L22"/>
    <mergeCell ref="I19:L19"/>
    <mergeCell ref="M4:T4"/>
    <mergeCell ref="Q19:T19"/>
    <mergeCell ref="Q20:T20"/>
    <mergeCell ref="Q21:T21"/>
    <mergeCell ref="Q22:T22"/>
    <mergeCell ref="M22:P22"/>
    <mergeCell ref="O14:T14"/>
    <mergeCell ref="P5:T6"/>
    <mergeCell ref="B3:V3"/>
    <mergeCell ref="B19:G19"/>
  </mergeCells>
  <phoneticPr fontId="1"/>
  <conditionalFormatting sqref="B31">
    <cfRule type="expression" dxfId="205" priority="11">
      <formula>AND($I$12="非該当",$I$22="")</formula>
    </cfRule>
  </conditionalFormatting>
  <conditionalFormatting sqref="B19:C19">
    <cfRule type="expression" dxfId="204" priority="30">
      <formula>I12="非該当"</formula>
    </cfRule>
    <cfRule type="expression" dxfId="203" priority="34">
      <formula>I12="非該当"</formula>
    </cfRule>
  </conditionalFormatting>
  <conditionalFormatting sqref="B20:C20">
    <cfRule type="expression" dxfId="202" priority="32">
      <formula>I12="非該当"</formula>
    </cfRule>
    <cfRule type="expression" dxfId="201" priority="29">
      <formula>I12="非該当"</formula>
    </cfRule>
  </conditionalFormatting>
  <conditionalFormatting sqref="B21:C21">
    <cfRule type="expression" dxfId="200" priority="40">
      <formula>I12="該当"</formula>
    </cfRule>
    <cfRule type="expression" dxfId="199" priority="38">
      <formula>I12="該当"</formula>
    </cfRule>
  </conditionalFormatting>
  <conditionalFormatting sqref="B22:C22">
    <cfRule type="expression" dxfId="198" priority="39">
      <formula>I12="該当"</formula>
    </cfRule>
    <cfRule type="expression" dxfId="197" priority="37">
      <formula>I12="該当"</formula>
    </cfRule>
  </conditionalFormatting>
  <conditionalFormatting sqref="B50:C50 B51:T52">
    <cfRule type="expression" dxfId="196" priority="99">
      <formula>AND($T$46=TRUE,$B$50="")</formula>
    </cfRule>
  </conditionalFormatting>
  <conditionalFormatting sqref="B31:T31">
    <cfRule type="expression" dxfId="195" priority="75">
      <formula>AND($I$12="非該当",$I$22="")</formula>
    </cfRule>
  </conditionalFormatting>
  <conditionalFormatting sqref="C45:C46">
    <cfRule type="expression" dxfId="194" priority="97">
      <formula>AND($T$45=FALSE,$T$46=FALSE)</formula>
    </cfRule>
  </conditionalFormatting>
  <conditionalFormatting sqref="D19:D20">
    <cfRule type="expression" dxfId="193" priority="544">
      <formula>#REF!="非該当"</formula>
    </cfRule>
    <cfRule type="expression" dxfId="192" priority="541">
      <formula>#REF!="非該当"</formula>
    </cfRule>
  </conditionalFormatting>
  <conditionalFormatting sqref="D21:D22">
    <cfRule type="expression" dxfId="191" priority="533">
      <formula>#REF!="該当"</formula>
    </cfRule>
    <cfRule type="expression" dxfId="190" priority="532">
      <formula>#REF!="該当"</formula>
    </cfRule>
  </conditionalFormatting>
  <conditionalFormatting sqref="D50:H50">
    <cfRule type="expression" dxfId="189" priority="87">
      <formula>AND($T$46=TRUE,$D$50="")</formula>
    </cfRule>
  </conditionalFormatting>
  <conditionalFormatting sqref="E19:F19">
    <cfRule type="expression" dxfId="188" priority="487">
      <formula>U12="非該当"</formula>
    </cfRule>
    <cfRule type="expression" dxfId="187" priority="484">
      <formula>U12="非該当"</formula>
    </cfRule>
  </conditionalFormatting>
  <conditionalFormatting sqref="E20:F20">
    <cfRule type="expression" dxfId="186" priority="486">
      <formula>U12="非該当"</formula>
    </cfRule>
    <cfRule type="expression" dxfId="185" priority="485">
      <formula>U12="非該当"</formula>
    </cfRule>
  </conditionalFormatting>
  <conditionalFormatting sqref="E21:F21">
    <cfRule type="expression" dxfId="184" priority="483">
      <formula>U12="該当"</formula>
    </cfRule>
    <cfRule type="expression" dxfId="183" priority="482">
      <formula>U12="該当"</formula>
    </cfRule>
  </conditionalFormatting>
  <conditionalFormatting sqref="E22:F22">
    <cfRule type="expression" dxfId="182" priority="481">
      <formula>U12="該当"</formula>
    </cfRule>
    <cfRule type="expression" dxfId="181" priority="480">
      <formula>U12="該当"</formula>
    </cfRule>
  </conditionalFormatting>
  <conditionalFormatting sqref="G19:G20">
    <cfRule type="expression" dxfId="180" priority="346">
      <formula>#REF!="非該当"</formula>
    </cfRule>
  </conditionalFormatting>
  <conditionalFormatting sqref="G20">
    <cfRule type="expression" dxfId="179" priority="347">
      <formula>#REF!="非該当"</formula>
    </cfRule>
  </conditionalFormatting>
  <conditionalFormatting sqref="G21:G22">
    <cfRule type="expression" dxfId="178" priority="329">
      <formula>#REF!="該当"</formula>
    </cfRule>
    <cfRule type="expression" dxfId="177" priority="330">
      <formula>#REF!="該当"</formula>
    </cfRule>
  </conditionalFormatting>
  <conditionalFormatting sqref="G19:H19">
    <cfRule type="expression" dxfId="176" priority="284">
      <formula>#REF!="非該当"</formula>
    </cfRule>
  </conditionalFormatting>
  <conditionalFormatting sqref="H19">
    <cfRule type="expression" dxfId="175" priority="33">
      <formula>I12="非該当"</formula>
    </cfRule>
  </conditionalFormatting>
  <conditionalFormatting sqref="H20">
    <cfRule type="expression" dxfId="174" priority="31">
      <formula>I12="非該当"</formula>
    </cfRule>
  </conditionalFormatting>
  <conditionalFormatting sqref="H21">
    <cfRule type="expression" dxfId="173" priority="22">
      <formula>I12="該当"</formula>
    </cfRule>
    <cfRule type="expression" dxfId="172" priority="10">
      <formula>AND($I$12="非該当",$I$21="")</formula>
    </cfRule>
    <cfRule type="expression" dxfId="171" priority="24">
      <formula>I12="該当"</formula>
    </cfRule>
  </conditionalFormatting>
  <conditionalFormatting sqref="H22">
    <cfRule type="expression" dxfId="170" priority="23">
      <formula>I12="該当"</formula>
    </cfRule>
    <cfRule type="expression" dxfId="169" priority="21">
      <formula>I12="該当"</formula>
    </cfRule>
    <cfRule type="expression" dxfId="168" priority="9">
      <formula>AND($I$12="非該当",$I$21="")</formula>
    </cfRule>
  </conditionalFormatting>
  <conditionalFormatting sqref="H21:J21">
    <cfRule type="expression" dxfId="167" priority="69">
      <formula>AND($I$12="非該当",$I$21="")</formula>
    </cfRule>
  </conditionalFormatting>
  <conditionalFormatting sqref="H22:L22">
    <cfRule type="expression" dxfId="166" priority="104">
      <formula>AND($I$12="非該当",$I$21="")</formula>
    </cfRule>
  </conditionalFormatting>
  <conditionalFormatting sqref="I12:J12">
    <cfRule type="expression" dxfId="165" priority="105">
      <formula>$I$12=""</formula>
    </cfRule>
  </conditionalFormatting>
  <conditionalFormatting sqref="I19:J19">
    <cfRule type="expression" dxfId="164" priority="28">
      <formula>I12="非該当"</formula>
    </cfRule>
    <cfRule type="expression" dxfId="163" priority="26">
      <formula>I12="非該当"</formula>
    </cfRule>
  </conditionalFormatting>
  <conditionalFormatting sqref="I20:J20">
    <cfRule type="expression" dxfId="162" priority="27">
      <formula>I12="非該当"</formula>
    </cfRule>
    <cfRule type="expression" dxfId="161" priority="25">
      <formula>I12="非該当"</formula>
    </cfRule>
  </conditionalFormatting>
  <conditionalFormatting sqref="I21:J21">
    <cfRule type="expression" dxfId="160" priority="36">
      <formula>I12="該当"</formula>
    </cfRule>
  </conditionalFormatting>
  <conditionalFormatting sqref="I22:J22">
    <cfRule type="expression" dxfId="159" priority="35">
      <formula>I12="該当"</formula>
    </cfRule>
  </conditionalFormatting>
  <conditionalFormatting sqref="I23:L23">
    <cfRule type="expression" dxfId="156" priority="76">
      <formula>I53=0</formula>
    </cfRule>
  </conditionalFormatting>
  <conditionalFormatting sqref="I35:L38">
    <cfRule type="expression" dxfId="154" priority="103">
      <formula>AND($I$35="",$I$36="",$I$37="",$I$38="")</formula>
    </cfRule>
  </conditionalFormatting>
  <conditionalFormatting sqref="I39:L39">
    <cfRule type="expression" dxfId="153" priority="96">
      <formula>$I$39=0</formula>
    </cfRule>
  </conditionalFormatting>
  <conditionalFormatting sqref="I50:L50">
    <cfRule type="expression" dxfId="152" priority="86">
      <formula>AND($T$46=TRUE,$I$50="")</formula>
    </cfRule>
  </conditionalFormatting>
  <conditionalFormatting sqref="I53:L53">
    <cfRule type="expression" dxfId="151" priority="88">
      <formula>$T$46=TRUE</formula>
    </cfRule>
  </conditionalFormatting>
  <conditionalFormatting sqref="K19">
    <cfRule type="expression" dxfId="150" priority="515">
      <formula>#REF!="非該当"</formula>
    </cfRule>
    <cfRule type="expression" dxfId="149" priority="514">
      <formula>#REF!="非該当"</formula>
    </cfRule>
  </conditionalFormatting>
  <conditionalFormatting sqref="K20">
    <cfRule type="expression" dxfId="148" priority="518">
      <formula>#REF!="非該当"</formula>
    </cfRule>
    <cfRule type="expression" dxfId="147" priority="519">
      <formula>#REF!="非該当"</formula>
    </cfRule>
  </conditionalFormatting>
  <conditionalFormatting sqref="K21">
    <cfRule type="expression" dxfId="146" priority="501">
      <formula>#REF!="該当"</formula>
    </cfRule>
    <cfRule type="expression" dxfId="145" priority="502">
      <formula>AND($I$12="非該当",$I$21="")</formula>
    </cfRule>
  </conditionalFormatting>
  <conditionalFormatting sqref="K22">
    <cfRule type="expression" dxfId="144" priority="539">
      <formula>#REF!="該当"</formula>
    </cfRule>
  </conditionalFormatting>
  <conditionalFormatting sqref="L19">
    <cfRule type="expression" dxfId="143" priority="491">
      <formula>U12="非該当"</formula>
    </cfRule>
    <cfRule type="expression" dxfId="142" priority="490">
      <formula>U12="非該当"</formula>
    </cfRule>
  </conditionalFormatting>
  <conditionalFormatting sqref="L20">
    <cfRule type="expression" dxfId="141" priority="479">
      <formula>U12="非該当"</formula>
    </cfRule>
    <cfRule type="expression" dxfId="140" priority="478">
      <formula>U12="非該当"</formula>
    </cfRule>
  </conditionalFormatting>
  <conditionalFormatting sqref="L21">
    <cfRule type="expression" dxfId="139" priority="489">
      <formula>AND($I$12="非該当",$I$21="")</formula>
    </cfRule>
    <cfRule type="expression" dxfId="138" priority="488">
      <formula>U12="該当"</formula>
    </cfRule>
  </conditionalFormatting>
  <conditionalFormatting sqref="L22">
    <cfRule type="expression" dxfId="137" priority="492">
      <formula>U12="該当"</formula>
    </cfRule>
  </conditionalFormatting>
  <conditionalFormatting sqref="M20">
    <cfRule type="expression" dxfId="136" priority="1">
      <formula>M20="ｿﾌﾄｳｪｱ購入不可"</formula>
    </cfRule>
  </conditionalFormatting>
  <conditionalFormatting sqref="M22">
    <cfRule type="expression" dxfId="134" priority="62">
      <formula>I12="該当"</formula>
    </cfRule>
  </conditionalFormatting>
  <conditionalFormatting sqref="M39">
    <cfRule type="containsText" dxfId="132" priority="113" operator="containsText" text="不一致 NG">
      <formula>NOT(ISERROR(SEARCH("不一致 NG",M39)))</formula>
    </cfRule>
  </conditionalFormatting>
  <conditionalFormatting sqref="M19:P19">
    <cfRule type="expression" dxfId="131" priority="5">
      <formula>M19=0</formula>
    </cfRule>
    <cfRule type="expression" dxfId="130" priority="58">
      <formula>I12="非該当"</formula>
    </cfRule>
    <cfRule type="expression" dxfId="129" priority="59">
      <formula>I12="非該当"</formula>
    </cfRule>
  </conditionalFormatting>
  <conditionalFormatting sqref="M20:P20">
    <cfRule type="expression" dxfId="128" priority="56">
      <formula>I12="非該当"</formula>
    </cfRule>
    <cfRule type="expression" dxfId="127" priority="57">
      <formula>I12="非該当"</formula>
    </cfRule>
  </conditionalFormatting>
  <conditionalFormatting sqref="M21:P21">
    <cfRule type="expression" dxfId="126" priority="6">
      <formula>M21=0</formula>
    </cfRule>
    <cfRule type="expression" dxfId="125" priority="61">
      <formula>I12="該当"</formula>
    </cfRule>
    <cfRule type="expression" dxfId="124" priority="63">
      <formula>I12="該当"</formula>
    </cfRule>
  </conditionalFormatting>
  <conditionalFormatting sqref="M22:P22">
    <cfRule type="expression" dxfId="123" priority="60">
      <formula>I12="該当"</formula>
    </cfRule>
  </conditionalFormatting>
  <conditionalFormatting sqref="M35:P35">
    <cfRule type="expression" dxfId="121" priority="95">
      <formula>AND($I$35&lt;&gt;0,$M$35="")</formula>
    </cfRule>
  </conditionalFormatting>
  <conditionalFormatting sqref="M36:P36">
    <cfRule type="expression" dxfId="120" priority="94">
      <formula>AND($I$36&lt;&gt;0,$M$36="")</formula>
    </cfRule>
  </conditionalFormatting>
  <conditionalFormatting sqref="M38:P38">
    <cfRule type="expression" dxfId="119" priority="93">
      <formula>AND($I$38&lt;&gt;0,$M$38="")</formula>
    </cfRule>
  </conditionalFormatting>
  <conditionalFormatting sqref="M15:R15">
    <cfRule type="containsText" dxfId="118" priority="107" operator="containsText" text="助成対象経費 金額不一致NG : (申請設備)ｼｰﾄの助成対象経費合計金額と一致させること">
      <formula>NOT(ISERROR(SEARCH("助成対象経費 金額不一致NG : (申請設備)ｼｰﾄの助成対象経費合計金額と一致させること",M15)))</formula>
    </cfRule>
    <cfRule type="containsText" dxfId="117" priority="111" operator="containsText" text="助成対象経費 金額不一致 : (申請設備)sheetの助成対象経費合計金額を確認のこと">
      <formula>NOT(ISERROR(SEARCH("助成対象経費 金額不一致 : (申請設備)sheetの助成対象経費合計金額を確認のこと",M15)))</formula>
    </cfRule>
    <cfRule type="containsText" dxfId="116" priority="110" operator="containsText" text="★助成対象経費 金額不一致 : (申請設備)ｼｰﾄの助成対象経費合計金額を確認のこと">
      <formula>NOT(ISERROR(SEARCH("★助成対象経費 金額不一致 : (申請設備)ｼｰﾄの助成対象経費合計金額を確認のこと",M15)))</formula>
    </cfRule>
    <cfRule type="containsText" dxfId="115" priority="109" operator="containsText" text="★助成対象経費 金額不一致NG : (申請設備)ｼｰﾄの助成対象経費合計金額を確認のこと">
      <formula>NOT(ISERROR(SEARCH("★助成対象経費 金額不一致NG : (申請設備)ｼｰﾄの助成対象経費合計金額を確認のこと",M15)))</formula>
    </cfRule>
  </conditionalFormatting>
  <conditionalFormatting sqref="M4:T4">
    <cfRule type="expression" dxfId="114" priority="2">
      <formula>$M4=""</formula>
    </cfRule>
  </conditionalFormatting>
  <conditionalFormatting sqref="M50:T50">
    <cfRule type="expression" dxfId="113" priority="84">
      <formula>AND($T$46=TRUE,$M$50="")</formula>
    </cfRule>
  </conditionalFormatting>
  <conditionalFormatting sqref="O14:T14">
    <cfRule type="containsText" dxfId="112" priority="15" operator="containsText" text="ｿﾌﾄｳｪｱ申請額下限額未満；見直し要">
      <formula>NOT(ISERROR(SEARCH("ｿﾌﾄｳｪｱ申請額下限額未満；見直し要",O14)))</formula>
    </cfRule>
  </conditionalFormatting>
  <conditionalFormatting sqref="P5:T6">
    <cfRule type="containsText" dxfId="111" priority="14" operator="containsText" text="申請者区分不一致 NG">
      <formula>NOT(ISERROR(SEARCH("申請者区分不一致 NG",P5)))</formula>
    </cfRule>
  </conditionalFormatting>
  <conditionalFormatting sqref="Q19">
    <cfRule type="containsText" dxfId="110" priority="112" operator="containsText" text="要申請者区分選択">
      <formula>NOT(ISERROR(SEARCH("要申請者区分選択",Q19)))</formula>
    </cfRule>
  </conditionalFormatting>
  <conditionalFormatting sqref="Q20:Q21">
    <cfRule type="containsText" dxfId="107" priority="53" operator="containsText" text="要申請者区分選択">
      <formula>NOT(ISERROR(SEARCH("要申請者区分選択",Q20)))</formula>
    </cfRule>
  </conditionalFormatting>
  <conditionalFormatting sqref="Q22">
    <cfRule type="containsText" dxfId="104" priority="51" operator="containsText" text="要申請者区分選択">
      <formula>NOT(ISERROR(SEARCH("要申請者区分選択",Q22)))</formula>
    </cfRule>
  </conditionalFormatting>
  <conditionalFormatting sqref="Q19:T19">
    <cfRule type="expression" dxfId="103" priority="47">
      <formula>I12="非該当"</formula>
    </cfRule>
    <cfRule type="expression" dxfId="102" priority="45">
      <formula>I12="非該当"</formula>
    </cfRule>
  </conditionalFormatting>
  <conditionalFormatting sqref="Q20:T20">
    <cfRule type="expression" dxfId="101" priority="44">
      <formula>I12="非該当"</formula>
    </cfRule>
    <cfRule type="expression" dxfId="100" priority="12">
      <formula>O14="ｿﾌﾄｳｪｱ申請額下限額未満；見直し要"</formula>
    </cfRule>
    <cfRule type="expression" dxfId="99" priority="46">
      <formula>I12="非該当"</formula>
    </cfRule>
  </conditionalFormatting>
  <conditionalFormatting sqref="Q21:T21">
    <cfRule type="expression" dxfId="98" priority="43">
      <formula>I12="該当"</formula>
    </cfRule>
    <cfRule type="expression" dxfId="97" priority="49">
      <formula>I12="該当"</formula>
    </cfRule>
  </conditionalFormatting>
  <conditionalFormatting sqref="Q22:T22">
    <cfRule type="expression" dxfId="96" priority="42">
      <formula>I12="該当"</formula>
    </cfRule>
    <cfRule type="expression" dxfId="95" priority="8">
      <formula>O14="ｿﾌﾄｳｪｱ申請額下限額未満；見直し要"</formula>
    </cfRule>
    <cfRule type="expression" dxfId="94" priority="48">
      <formula>I12="該当"</formula>
    </cfRule>
  </conditionalFormatting>
  <conditionalFormatting sqref="Q24:T24">
    <cfRule type="containsText" dxfId="93" priority="13" operator="containsText" text="下限額未満">
      <formula>NOT(ISERROR(SEARCH("下限額未満",Q24)))</formula>
    </cfRule>
  </conditionalFormatting>
  <conditionalFormatting sqref="Q35:T35">
    <cfRule type="expression" dxfId="91" priority="92">
      <formula>AND($I$35&lt;&gt;0,$Q$35="")</formula>
    </cfRule>
  </conditionalFormatting>
  <conditionalFormatting sqref="Q36:T36">
    <cfRule type="expression" dxfId="90" priority="91">
      <formula>AND($I$36&lt;&gt;0,$Q$36="")</formula>
    </cfRule>
  </conditionalFormatting>
  <conditionalFormatting sqref="Q37:T37">
    <cfRule type="expression" dxfId="89" priority="90">
      <formula>AND($I$37&lt;&gt;0,$Q$37="")</formula>
    </cfRule>
  </conditionalFormatting>
  <conditionalFormatting sqref="Q38:T38">
    <cfRule type="expression" dxfId="88" priority="89">
      <formula>AND($I$38&lt;&gt;0,$Q$38="")</formula>
    </cfRule>
  </conditionalFormatting>
  <conditionalFormatting sqref="X27:Y27">
    <cfRule type="containsText" dxfId="87" priority="108" operator="containsText" text="助成対象経費 金額不一致NG : (申請設備)ｼｰﾄの助成対象経費合計金額と一致させること">
      <formula>NOT(ISERROR(SEARCH("助成対象経費 金額不一致NG : (申請設備)ｼｰﾄの助成対象経費合計金額と一致させること",X27)))</formula>
    </cfRule>
  </conditionalFormatting>
  <dataValidations xWindow="1119" yWindow="691" count="13">
    <dataValidation type="list" allowBlank="1" showInputMessage="1" showErrorMessage="1" promptTitle="海外から直輸入等の設備を含む場合は「要注意」" prompt="消費税率10%適用外の場合は「非該当」選択_x000a__x000a_日本国内で設備を購入する場合は、標準的な［消費税率10%適用のみ］に該当します" sqref="I12:J12" xr:uid="{00000000-0002-0000-0500-000000000000}">
      <formula1>$W$12:$W$13</formula1>
    </dataValidation>
    <dataValidation showDropDown="1" showInputMessage="1" showErrorMessage="1" promptTitle="申請者区分を確認してください　" prompt="申請書で選択した区分が自動で転記されています" sqref="M4:T4" xr:uid="{00000000-0002-0000-0500-000001000000}"/>
    <dataValidation type="list" allowBlank="1" showInputMessage="1" promptTitle="進捗状況記入ください" prompt="ドロップダウンリスト▼ _x000a_から選択するか、又は自由コメントを直接入力してください" sqref="Q35:T38" xr:uid="{00000000-0002-0000-0500-000002000000}">
      <formula1>$W$34:$W$39</formula1>
    </dataValidation>
    <dataValidation allowBlank="1" showInputMessage="1" showErrorMessage="1" promptTitle="入力不要" prompt="本ページ最下欄の「（５）助成対象外経費の内訳」の合計金額が転記（自動反映）されます。" sqref="I23:L23" xr:uid="{00000000-0002-0000-0500-000003000000}"/>
    <dataValidation type="custom" imeMode="off" allowBlank="1" showInputMessage="1" showErrorMessage="1" prompt="消費税10%以外の税制適用が含まれる場合は、上欄で［非該当］を選択した後、正しい税込み金額となるように金額を直接記入ください" sqref="I21:L22" xr:uid="{00000000-0002-0000-0500-000004000000}">
      <formula1>$I$12="非該当"</formula1>
    </dataValidation>
    <dataValidation imeMode="on" allowBlank="1" showInputMessage="1" showErrorMessage="1" sqref="M35:P38 D50:H52 M50:T52" xr:uid="{00000000-0002-0000-0500-000005000000}"/>
    <dataValidation imeMode="off" allowBlank="1" showInputMessage="1" showErrorMessage="1" sqref="I35:L38 I50:L52" xr:uid="{00000000-0002-0000-0500-000006000000}"/>
    <dataValidation imeMode="disabled" allowBlank="1" showInputMessage="1" showErrorMessage="1" sqref="T46" xr:uid="{00000000-0002-0000-0500-000007000000}"/>
    <dataValidation allowBlank="1" showInputMessage="1" showErrorMessage="1" promptTitle="入力不要" prompt="「機械設備計画」sheetから自動転記されます" sqref="M19:M22" xr:uid="{00000000-0002-0000-0500-000008000000}"/>
    <dataValidation allowBlank="1" showInputMessage="1" showErrorMessage="1" promptTitle="入力不要" prompt="上欄の［申請者区分］を選択すると自動計算されます" sqref="Q19:Q22" xr:uid="{00000000-0002-0000-0500-000009000000}"/>
    <dataValidation allowBlank="1" showInputMessage="1" showErrorMessage="1" promptTitle="入力不要" prompt="自動計算されます" sqref="I24:T24" xr:uid="{00000000-0002-0000-0500-00000A000000}"/>
    <dataValidation allowBlank="1" showInputMessage="1" showErrorMessage="1" promptTitle="入力不要" prompt="消費税率10%の場合には自動計算されます" sqref="I19:L20" xr:uid="{00000000-0002-0000-0500-00000B000000}"/>
    <dataValidation allowBlank="1" showInputMessage="1" showErrorMessage="1" promptTitle="入力不要" prompt="自動計算" sqref="I39:L39" xr:uid="{00000000-0002-0000-0500-00000C000000}"/>
  </dataValidations>
  <pageMargins left="0.70866141732283472" right="0.31496062992125984" top="0.55118110236220474" bottom="0.15748031496062992" header="0.31496062992125984" footer="0.11811023622047245"/>
  <pageSetup paperSize="9" scale="88" orientation="portrait" useFirstPageNumber="1" r:id="rId1"/>
  <headerFooter>
    <oddFooter>&amp;C4 - &amp;P</oddFooter>
  </headerFooter>
  <ignoredErrors>
    <ignoredError sqref="B14 B33 B4 B6" numberStoredAsText="1"/>
    <ignoredError sqref="M2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114300</xdr:colOff>
                    <xdr:row>43</xdr:row>
                    <xdr:rowOff>247650</xdr:rowOff>
                  </from>
                  <to>
                    <xdr:col>3</xdr:col>
                    <xdr:colOff>69850</xdr:colOff>
                    <xdr:row>45</xdr:row>
                    <xdr:rowOff>69850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114300</xdr:colOff>
                    <xdr:row>44</xdr:row>
                    <xdr:rowOff>146050</xdr:rowOff>
                  </from>
                  <to>
                    <xdr:col>3</xdr:col>
                    <xdr:colOff>69850</xdr:colOff>
                    <xdr:row>46</xdr:row>
                    <xdr:rowOff>31750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8" id="{53644043-EEAE-4985-B4E4-2F1E4F6EE95C}">
            <xm:f>機械設備計画!AC14=0</xm:f>
            <x14:dxf>
              <fill>
                <patternFill>
                  <bgColor theme="6" tint="0.59996337778862885"/>
                </patternFill>
              </fill>
            </x14:dxf>
          </x14:cfRule>
          <xm:sqref>I19:L19</xm:sqref>
        </x14:conditionalFormatting>
        <x14:conditionalFormatting xmlns:xm="http://schemas.microsoft.com/office/excel/2006/main">
          <x14:cfRule type="expression" priority="72" id="{9FC89444-6744-4B53-8AA8-D868FEF462AB}">
            <xm:f>機械設備計画!AV18=0</xm:f>
            <x14:dxf>
              <fill>
                <patternFill>
                  <bgColor theme="6" tint="0.59996337778862885"/>
                </patternFill>
              </fill>
            </x14:dxf>
          </x14:cfRule>
          <xm:sqref>I20:L20</xm:sqref>
        </x14:conditionalFormatting>
        <x14:conditionalFormatting xmlns:xm="http://schemas.microsoft.com/office/excel/2006/main">
          <x14:cfRule type="expression" priority="77" id="{751CD5B2-5EFF-4E67-A1C5-FB9C6DA7907F}">
            <xm:f>機械設備計画!AC14=0</xm:f>
            <x14:dxf>
              <fill>
                <patternFill>
                  <bgColor theme="6" tint="0.59996337778862885"/>
                </patternFill>
              </fill>
            </x14:dxf>
          </x14:cfRule>
          <xm:sqref>I24:L24</xm:sqref>
        </x14:conditionalFormatting>
        <x14:conditionalFormatting xmlns:xm="http://schemas.microsoft.com/office/excel/2006/main">
          <x14:cfRule type="expression" priority="73" id="{EEDE5CA8-D7FD-4953-8F39-553B83AE23FE}">
            <xm:f>機械設備計画!AV18=0</xm:f>
            <x14:dxf>
              <fill>
                <patternFill>
                  <bgColor theme="6" tint="0.59996337778862885"/>
                </patternFill>
              </fill>
            </x14:dxf>
          </x14:cfRule>
          <xm:sqref>M20</xm:sqref>
        </x14:conditionalFormatting>
        <x14:conditionalFormatting xmlns:xm="http://schemas.microsoft.com/office/excel/2006/main">
          <x14:cfRule type="expression" priority="67" id="{35D14BCA-6CB9-44F7-BCF0-8EAF6A10E16A}">
            <xm:f>機械設備計画!AV18=0</xm:f>
            <x14:dxf>
              <fill>
                <patternFill>
                  <bgColor theme="6" tint="0.59996337778862885"/>
                </patternFill>
              </fill>
            </x14:dxf>
          </x14:cfRule>
          <xm:sqref>M22</xm:sqref>
        </x14:conditionalFormatting>
        <x14:conditionalFormatting xmlns:xm="http://schemas.microsoft.com/office/excel/2006/main">
          <x14:cfRule type="expression" priority="79" id="{0F17A2AE-E838-4FCC-9A1B-7358662DD556}">
            <xm:f>機械設備計画!AC14=0</xm:f>
            <x14:dxf>
              <fill>
                <patternFill>
                  <bgColor theme="6" tint="0.59996337778862885"/>
                </patternFill>
              </fill>
            </x14:dxf>
          </x14:cfRule>
          <xm:sqref>M24:P24</xm:sqref>
        </x14:conditionalFormatting>
        <x14:conditionalFormatting xmlns:xm="http://schemas.microsoft.com/office/excel/2006/main">
          <x14:cfRule type="expression" priority="82" id="{D57B9A6E-AE7C-4D96-B949-C76DBE90D096}">
            <xm:f>機械設備計画!AC14=0</xm:f>
            <x14:dxf>
              <fill>
                <patternFill>
                  <bgColor theme="6" tint="0.59996337778862885"/>
                </patternFill>
              </fill>
            </x14:dxf>
          </x14:cfRule>
          <xm:sqref>Q19</xm:sqref>
        </x14:conditionalFormatting>
        <x14:conditionalFormatting xmlns:xm="http://schemas.microsoft.com/office/excel/2006/main">
          <x14:cfRule type="expression" priority="7" id="{E1B814B0-8864-4822-9BC8-D135FDCA9CF0}">
            <xm:f>機械設備計画!AV18=0</xm:f>
            <x14:dxf>
              <fill>
                <patternFill>
                  <bgColor theme="0" tint="-0.14996795556505021"/>
                </patternFill>
              </fill>
            </x14:dxf>
          </x14:cfRule>
          <xm:sqref>Q20</xm:sqref>
        </x14:conditionalFormatting>
        <x14:conditionalFormatting xmlns:xm="http://schemas.microsoft.com/office/excel/2006/main">
          <x14:cfRule type="expression" priority="52" id="{8371B3CB-4DDB-4983-A32E-CB0555BC1B81}">
            <xm:f>機械設備計画!AC14=0</xm:f>
            <x14:dxf>
              <fill>
                <patternFill>
                  <bgColor theme="6" tint="0.59996337778862885"/>
                </patternFill>
              </fill>
            </x14:dxf>
          </x14:cfRule>
          <xm:sqref>Q21</xm:sqref>
        </x14:conditionalFormatting>
        <x14:conditionalFormatting xmlns:xm="http://schemas.microsoft.com/office/excel/2006/main">
          <x14:cfRule type="expression" priority="50" id="{9F60F0A6-390C-46EF-97B3-73B23518E2C5}">
            <xm:f>機械設備計画!AV18=0</xm:f>
            <x14:dxf>
              <fill>
                <patternFill>
                  <bgColor theme="6" tint="0.59996337778862885"/>
                </patternFill>
              </fill>
            </x14:dxf>
          </x14:cfRule>
          <xm:sqref>Q22</xm:sqref>
        </x14:conditionalFormatting>
        <x14:conditionalFormatting xmlns:xm="http://schemas.microsoft.com/office/excel/2006/main">
          <x14:cfRule type="expression" priority="80" id="{33700E0B-DE6A-4EB1-8B8A-E52AA9A8DFE3}">
            <xm:f>機械設備計画!AC14=0</xm:f>
            <x14:dxf>
              <fill>
                <patternFill>
                  <bgColor theme="6" tint="0.59996337778862885"/>
                </patternFill>
              </fill>
            </x14:dxf>
          </x14:cfRule>
          <xm:sqref>Q24:T24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B1:J84"/>
  <sheetViews>
    <sheetView showGridLines="0" view="pageBreakPreview" zoomScaleNormal="100" zoomScaleSheetLayoutView="100" workbookViewId="0">
      <selection activeCell="B1" sqref="B1"/>
    </sheetView>
  </sheetViews>
  <sheetFormatPr defaultRowHeight="18"/>
  <cols>
    <col min="1" max="1" width="0.5" customWidth="1"/>
    <col min="10" max="10" width="6.08203125" customWidth="1"/>
    <col min="11" max="11" width="1.08203125" customWidth="1"/>
  </cols>
  <sheetData>
    <row r="1" spans="2:10" ht="4.5" customHeight="1">
      <c r="G1" s="778">
        <v>0</v>
      </c>
      <c r="H1" s="778"/>
      <c r="I1" s="778"/>
      <c r="J1" s="778"/>
    </row>
    <row r="2" spans="2:10" s="7" customFormat="1" ht="19" customHeight="1">
      <c r="B2" s="562" t="s">
        <v>1061</v>
      </c>
    </row>
    <row r="3" spans="2:10">
      <c r="B3" s="1324" t="s">
        <v>518</v>
      </c>
      <c r="C3" s="1325"/>
      <c r="D3" s="1325"/>
      <c r="E3" s="1325"/>
      <c r="F3" s="1325"/>
      <c r="G3" s="1325"/>
      <c r="H3" s="1325"/>
      <c r="I3" s="1325"/>
      <c r="J3" s="1325"/>
    </row>
    <row r="4" spans="2:10">
      <c r="B4" s="1325"/>
      <c r="C4" s="1325"/>
      <c r="D4" s="1325"/>
      <c r="E4" s="1325"/>
      <c r="F4" s="1325"/>
      <c r="G4" s="1325"/>
      <c r="H4" s="1325"/>
      <c r="I4" s="1325"/>
      <c r="J4" s="1325"/>
    </row>
    <row r="5" spans="2:10">
      <c r="B5" s="1325"/>
      <c r="C5" s="1325"/>
      <c r="D5" s="1325"/>
      <c r="E5" s="1325"/>
      <c r="F5" s="1325"/>
      <c r="G5" s="1325"/>
      <c r="H5" s="1325"/>
      <c r="I5" s="1325"/>
      <c r="J5" s="1325"/>
    </row>
    <row r="6" spans="2:10">
      <c r="B6" s="1325"/>
      <c r="C6" s="1325"/>
      <c r="D6" s="1325"/>
      <c r="E6" s="1325"/>
      <c r="F6" s="1325"/>
      <c r="G6" s="1325"/>
      <c r="H6" s="1325"/>
      <c r="I6" s="1325"/>
      <c r="J6" s="1325"/>
    </row>
    <row r="7" spans="2:10">
      <c r="B7" s="1325"/>
      <c r="C7" s="1325"/>
      <c r="D7" s="1325"/>
      <c r="E7" s="1325"/>
      <c r="F7" s="1325"/>
      <c r="G7" s="1325"/>
      <c r="H7" s="1325"/>
      <c r="I7" s="1325"/>
      <c r="J7" s="1325"/>
    </row>
    <row r="8" spans="2:10">
      <c r="B8" s="1325"/>
      <c r="C8" s="1325"/>
      <c r="D8" s="1325"/>
      <c r="E8" s="1325"/>
      <c r="F8" s="1325"/>
      <c r="G8" s="1325"/>
      <c r="H8" s="1325"/>
      <c r="I8" s="1325"/>
      <c r="J8" s="1325"/>
    </row>
    <row r="9" spans="2:10">
      <c r="B9" s="1326" t="s">
        <v>484</v>
      </c>
      <c r="C9" s="1327"/>
      <c r="D9" s="1327"/>
      <c r="E9" s="1327"/>
      <c r="F9" s="1327"/>
      <c r="G9" s="1327"/>
      <c r="H9" s="1327"/>
      <c r="I9" s="1327"/>
      <c r="J9" s="1328"/>
    </row>
    <row r="10" spans="2:10" ht="17.149999999999999" customHeight="1">
      <c r="B10" s="1329"/>
      <c r="C10" s="1330"/>
      <c r="D10" s="1330"/>
      <c r="E10" s="1330"/>
      <c r="F10" s="1330"/>
      <c r="G10" s="1330"/>
      <c r="H10" s="1330"/>
      <c r="I10" s="1330"/>
      <c r="J10" s="1331"/>
    </row>
    <row r="11" spans="2:10" ht="17.149999999999999" customHeight="1">
      <c r="B11" s="1332"/>
      <c r="C11" s="1333"/>
      <c r="D11" s="1333"/>
      <c r="E11" s="1333"/>
      <c r="F11" s="1333"/>
      <c r="G11" s="1333"/>
      <c r="H11" s="1333"/>
      <c r="I11" s="1333"/>
      <c r="J11" s="1334"/>
    </row>
    <row r="12" spans="2:10" ht="17.149999999999999" customHeight="1">
      <c r="B12" s="1332"/>
      <c r="C12" s="1333"/>
      <c r="D12" s="1333"/>
      <c r="E12" s="1333"/>
      <c r="F12" s="1333"/>
      <c r="G12" s="1333"/>
      <c r="H12" s="1333"/>
      <c r="I12" s="1333"/>
      <c r="J12" s="1334"/>
    </row>
    <row r="13" spans="2:10" ht="17.149999999999999" customHeight="1">
      <c r="B13" s="1332"/>
      <c r="C13" s="1333"/>
      <c r="D13" s="1333"/>
      <c r="E13" s="1333"/>
      <c r="F13" s="1333"/>
      <c r="G13" s="1333"/>
      <c r="H13" s="1333"/>
      <c r="I13" s="1333"/>
      <c r="J13" s="1334"/>
    </row>
    <row r="14" spans="2:10" ht="17.149999999999999" customHeight="1">
      <c r="B14" s="1332"/>
      <c r="C14" s="1333"/>
      <c r="D14" s="1333"/>
      <c r="E14" s="1333"/>
      <c r="F14" s="1333"/>
      <c r="G14" s="1333"/>
      <c r="H14" s="1333"/>
      <c r="I14" s="1333"/>
      <c r="J14" s="1334"/>
    </row>
    <row r="15" spans="2:10" ht="17.149999999999999" customHeight="1">
      <c r="B15" s="1332"/>
      <c r="C15" s="1333"/>
      <c r="D15" s="1333"/>
      <c r="E15" s="1333"/>
      <c r="F15" s="1333"/>
      <c r="G15" s="1333"/>
      <c r="H15" s="1333"/>
      <c r="I15" s="1333"/>
      <c r="J15" s="1334"/>
    </row>
    <row r="16" spans="2:10" ht="17.149999999999999" customHeight="1">
      <c r="B16" s="1332"/>
      <c r="C16" s="1333"/>
      <c r="D16" s="1333"/>
      <c r="E16" s="1333"/>
      <c r="F16" s="1333"/>
      <c r="G16" s="1333"/>
      <c r="H16" s="1333"/>
      <c r="I16" s="1333"/>
      <c r="J16" s="1334"/>
    </row>
    <row r="17" spans="2:10" ht="17.149999999999999" customHeight="1">
      <c r="B17" s="1332"/>
      <c r="C17" s="1333"/>
      <c r="D17" s="1333"/>
      <c r="E17" s="1333"/>
      <c r="F17" s="1333"/>
      <c r="G17" s="1333"/>
      <c r="H17" s="1333"/>
      <c r="I17" s="1333"/>
      <c r="J17" s="1334"/>
    </row>
    <row r="18" spans="2:10" ht="17.149999999999999" customHeight="1">
      <c r="B18" s="1332"/>
      <c r="C18" s="1333"/>
      <c r="D18" s="1333"/>
      <c r="E18" s="1333"/>
      <c r="F18" s="1333"/>
      <c r="G18" s="1333"/>
      <c r="H18" s="1333"/>
      <c r="I18" s="1333"/>
      <c r="J18" s="1334"/>
    </row>
    <row r="19" spans="2:10" ht="17.149999999999999" customHeight="1">
      <c r="B19" s="1332"/>
      <c r="C19" s="1333"/>
      <c r="D19" s="1333"/>
      <c r="E19" s="1333"/>
      <c r="F19" s="1333"/>
      <c r="G19" s="1333"/>
      <c r="H19" s="1333"/>
      <c r="I19" s="1333"/>
      <c r="J19" s="1334"/>
    </row>
    <row r="20" spans="2:10" ht="17.149999999999999" customHeight="1">
      <c r="B20" s="1332"/>
      <c r="C20" s="1333"/>
      <c r="D20" s="1333"/>
      <c r="E20" s="1333"/>
      <c r="F20" s="1333"/>
      <c r="G20" s="1333"/>
      <c r="H20" s="1333"/>
      <c r="I20" s="1333"/>
      <c r="J20" s="1334"/>
    </row>
    <row r="21" spans="2:10" ht="17.149999999999999" customHeight="1">
      <c r="B21" s="1332"/>
      <c r="C21" s="1333"/>
      <c r="D21" s="1333"/>
      <c r="E21" s="1333"/>
      <c r="F21" s="1333"/>
      <c r="G21" s="1333"/>
      <c r="H21" s="1333"/>
      <c r="I21" s="1333"/>
      <c r="J21" s="1334"/>
    </row>
    <row r="22" spans="2:10" ht="17.149999999999999" customHeight="1">
      <c r="B22" s="1332"/>
      <c r="C22" s="1333"/>
      <c r="D22" s="1333"/>
      <c r="E22" s="1333"/>
      <c r="F22" s="1333"/>
      <c r="G22" s="1333"/>
      <c r="H22" s="1333"/>
      <c r="I22" s="1333"/>
      <c r="J22" s="1334"/>
    </row>
    <row r="23" spans="2:10" ht="17.149999999999999" customHeight="1">
      <c r="B23" s="1332"/>
      <c r="C23" s="1333"/>
      <c r="D23" s="1333"/>
      <c r="E23" s="1333"/>
      <c r="F23" s="1333"/>
      <c r="G23" s="1333"/>
      <c r="H23" s="1333"/>
      <c r="I23" s="1333"/>
      <c r="J23" s="1334"/>
    </row>
    <row r="24" spans="2:10" ht="17.149999999999999" customHeight="1">
      <c r="B24" s="1332"/>
      <c r="C24" s="1333"/>
      <c r="D24" s="1333"/>
      <c r="E24" s="1333"/>
      <c r="F24" s="1333"/>
      <c r="G24" s="1333"/>
      <c r="H24" s="1333"/>
      <c r="I24" s="1333"/>
      <c r="J24" s="1334"/>
    </row>
    <row r="25" spans="2:10" ht="17.149999999999999" customHeight="1">
      <c r="B25" s="1332"/>
      <c r="C25" s="1333"/>
      <c r="D25" s="1333"/>
      <c r="E25" s="1333"/>
      <c r="F25" s="1333"/>
      <c r="G25" s="1333"/>
      <c r="H25" s="1333"/>
      <c r="I25" s="1333"/>
      <c r="J25" s="1334"/>
    </row>
    <row r="26" spans="2:10" ht="17.149999999999999" customHeight="1">
      <c r="B26" s="1332"/>
      <c r="C26" s="1333"/>
      <c r="D26" s="1333"/>
      <c r="E26" s="1333"/>
      <c r="F26" s="1333"/>
      <c r="G26" s="1333"/>
      <c r="H26" s="1333"/>
      <c r="I26" s="1333"/>
      <c r="J26" s="1334"/>
    </row>
    <row r="27" spans="2:10" ht="17.149999999999999" customHeight="1">
      <c r="B27" s="1332"/>
      <c r="C27" s="1333"/>
      <c r="D27" s="1333"/>
      <c r="E27" s="1333"/>
      <c r="F27" s="1333"/>
      <c r="G27" s="1333"/>
      <c r="H27" s="1333"/>
      <c r="I27" s="1333"/>
      <c r="J27" s="1334"/>
    </row>
    <row r="28" spans="2:10" ht="17.149999999999999" customHeight="1">
      <c r="B28" s="1332"/>
      <c r="C28" s="1333"/>
      <c r="D28" s="1333"/>
      <c r="E28" s="1333"/>
      <c r="F28" s="1333"/>
      <c r="G28" s="1333"/>
      <c r="H28" s="1333"/>
      <c r="I28" s="1333"/>
      <c r="J28" s="1334"/>
    </row>
    <row r="29" spans="2:10" ht="17.149999999999999" customHeight="1">
      <c r="B29" s="1332"/>
      <c r="C29" s="1333"/>
      <c r="D29" s="1333"/>
      <c r="E29" s="1333"/>
      <c r="F29" s="1333"/>
      <c r="G29" s="1333"/>
      <c r="H29" s="1333"/>
      <c r="I29" s="1333"/>
      <c r="J29" s="1334"/>
    </row>
    <row r="30" spans="2:10" ht="17.149999999999999" customHeight="1">
      <c r="B30" s="1332"/>
      <c r="C30" s="1333"/>
      <c r="D30" s="1333"/>
      <c r="E30" s="1333"/>
      <c r="F30" s="1333"/>
      <c r="G30" s="1333"/>
      <c r="H30" s="1333"/>
      <c r="I30" s="1333"/>
      <c r="J30" s="1334"/>
    </row>
    <row r="31" spans="2:10" ht="17.149999999999999" customHeight="1">
      <c r="B31" s="1332"/>
      <c r="C31" s="1333"/>
      <c r="D31" s="1333"/>
      <c r="E31" s="1333"/>
      <c r="F31" s="1333"/>
      <c r="G31" s="1333"/>
      <c r="H31" s="1333"/>
      <c r="I31" s="1333"/>
      <c r="J31" s="1334"/>
    </row>
    <row r="32" spans="2:10" ht="17.149999999999999" customHeight="1">
      <c r="B32" s="1332"/>
      <c r="C32" s="1333"/>
      <c r="D32" s="1333"/>
      <c r="E32" s="1333"/>
      <c r="F32" s="1333"/>
      <c r="G32" s="1333"/>
      <c r="H32" s="1333"/>
      <c r="I32" s="1333"/>
      <c r="J32" s="1334"/>
    </row>
    <row r="33" spans="2:10" ht="17.149999999999999" customHeight="1">
      <c r="B33" s="1335"/>
      <c r="C33" s="1336"/>
      <c r="D33" s="1336"/>
      <c r="E33" s="1336"/>
      <c r="F33" s="1336"/>
      <c r="G33" s="1336"/>
      <c r="H33" s="1336"/>
      <c r="I33" s="1336"/>
      <c r="J33" s="1337"/>
    </row>
    <row r="34" spans="2:10">
      <c r="B34" s="1326" t="s">
        <v>485</v>
      </c>
      <c r="C34" s="1327"/>
      <c r="D34" s="1327"/>
      <c r="E34" s="1327"/>
      <c r="F34" s="1327"/>
      <c r="G34" s="1327"/>
      <c r="H34" s="1327"/>
      <c r="I34" s="1327"/>
      <c r="J34" s="1328"/>
    </row>
    <row r="35" spans="2:10" ht="16.5" customHeight="1">
      <c r="B35" s="1315"/>
      <c r="C35" s="1316"/>
      <c r="D35" s="1316"/>
      <c r="E35" s="1316"/>
      <c r="F35" s="1316"/>
      <c r="G35" s="1316"/>
      <c r="H35" s="1316"/>
      <c r="I35" s="1316"/>
      <c r="J35" s="1317"/>
    </row>
    <row r="36" spans="2:10" ht="16.5" customHeight="1">
      <c r="B36" s="1318"/>
      <c r="C36" s="1319"/>
      <c r="D36" s="1319"/>
      <c r="E36" s="1319"/>
      <c r="F36" s="1319"/>
      <c r="G36" s="1319"/>
      <c r="H36" s="1319"/>
      <c r="I36" s="1319"/>
      <c r="J36" s="1320"/>
    </row>
    <row r="37" spans="2:10" ht="16.5" customHeight="1">
      <c r="B37" s="1318"/>
      <c r="C37" s="1319"/>
      <c r="D37" s="1319"/>
      <c r="E37" s="1319"/>
      <c r="F37" s="1319"/>
      <c r="G37" s="1319"/>
      <c r="H37" s="1319"/>
      <c r="I37" s="1319"/>
      <c r="J37" s="1320"/>
    </row>
    <row r="38" spans="2:10" ht="16.5" customHeight="1">
      <c r="B38" s="1318"/>
      <c r="C38" s="1319"/>
      <c r="D38" s="1319"/>
      <c r="E38" s="1319"/>
      <c r="F38" s="1319"/>
      <c r="G38" s="1319"/>
      <c r="H38" s="1319"/>
      <c r="I38" s="1319"/>
      <c r="J38" s="1320"/>
    </row>
    <row r="39" spans="2:10" ht="16.5" customHeight="1">
      <c r="B39" s="1318"/>
      <c r="C39" s="1319"/>
      <c r="D39" s="1319"/>
      <c r="E39" s="1319"/>
      <c r="F39" s="1319"/>
      <c r="G39" s="1319"/>
      <c r="H39" s="1319"/>
      <c r="I39" s="1319"/>
      <c r="J39" s="1320"/>
    </row>
    <row r="40" spans="2:10" ht="16.5" customHeight="1">
      <c r="B40" s="1318"/>
      <c r="C40" s="1319"/>
      <c r="D40" s="1319"/>
      <c r="E40" s="1319"/>
      <c r="F40" s="1319"/>
      <c r="G40" s="1319"/>
      <c r="H40" s="1319"/>
      <c r="I40" s="1319"/>
      <c r="J40" s="1320"/>
    </row>
    <row r="41" spans="2:10" ht="16.5" customHeight="1">
      <c r="B41" s="1321"/>
      <c r="C41" s="1322"/>
      <c r="D41" s="1322"/>
      <c r="E41" s="1322"/>
      <c r="F41" s="1322"/>
      <c r="G41" s="1322"/>
      <c r="H41" s="1322"/>
      <c r="I41" s="1322"/>
      <c r="J41" s="1323"/>
    </row>
    <row r="42" spans="2:10" ht="18.75" customHeight="1"/>
    <row r="43" spans="2:10" ht="19.5" customHeight="1"/>
    <row r="84" ht="19.5" customHeight="1"/>
  </sheetData>
  <mergeCells count="6">
    <mergeCell ref="B35:J41"/>
    <mergeCell ref="G1:J1"/>
    <mergeCell ref="B3:J8"/>
    <mergeCell ref="B9:J9"/>
    <mergeCell ref="B10:J33"/>
    <mergeCell ref="B34:J34"/>
  </mergeCells>
  <phoneticPr fontId="1"/>
  <conditionalFormatting sqref="B10:J33">
    <cfRule type="expression" dxfId="86" priority="2">
      <formula>$B$10=""</formula>
    </cfRule>
  </conditionalFormatting>
  <conditionalFormatting sqref="B35:J41">
    <cfRule type="expression" dxfId="85" priority="1">
      <formula>$B$35=""</formula>
    </cfRule>
  </conditionalFormatting>
  <dataValidations count="1">
    <dataValidation imeMode="on" allowBlank="1" showInputMessage="1" showErrorMessage="1" sqref="B10:J33 B35:J41" xr:uid="{00000000-0002-0000-0600-000000000000}"/>
  </dataValidations>
  <pageMargins left="0.9055118110236221" right="0.51181102362204722" top="0.55118110236220474" bottom="0.35433070866141736" header="0.31496062992125984" footer="0.11811023622047245"/>
  <pageSetup paperSize="9" orientation="portrait" useFirstPageNumber="1" r:id="rId1"/>
  <headerFooter>
    <oddFooter>&amp;C5(1) -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AM68"/>
  <sheetViews>
    <sheetView showGridLines="0" view="pageBreakPreview" zoomScaleNormal="90" zoomScaleSheetLayoutView="100" workbookViewId="0">
      <selection activeCell="K3" sqref="K3"/>
    </sheetView>
  </sheetViews>
  <sheetFormatPr defaultColWidth="9" defaultRowHeight="13"/>
  <cols>
    <col min="1" max="1" width="1.5" style="95" customWidth="1"/>
    <col min="2" max="2" width="11.58203125" style="95" customWidth="1"/>
    <col min="3" max="3" width="9.08203125" style="95" customWidth="1"/>
    <col min="4" max="14" width="10.83203125" style="95" customWidth="1"/>
    <col min="15" max="15" width="0.58203125" style="95" customWidth="1"/>
    <col min="16" max="16" width="3.58203125" style="95" customWidth="1"/>
    <col min="17" max="17" width="6.5" style="268" customWidth="1"/>
    <col min="18" max="27" width="3.58203125" style="95" customWidth="1"/>
    <col min="28" max="16384" width="9" style="95"/>
  </cols>
  <sheetData>
    <row r="1" spans="1:18" ht="6" customHeight="1">
      <c r="A1" s="1339">
        <f>申請書!Q12</f>
        <v>0</v>
      </c>
      <c r="B1" s="1340"/>
      <c r="C1" s="1340"/>
      <c r="D1" s="1340"/>
      <c r="E1" s="1340"/>
      <c r="M1" s="1341" t="s">
        <v>510</v>
      </c>
      <c r="N1" s="1342"/>
    </row>
    <row r="2" spans="1:18" ht="18.75" customHeight="1">
      <c r="B2" s="93" t="s">
        <v>517</v>
      </c>
      <c r="D2" s="199" t="s">
        <v>437</v>
      </c>
      <c r="E2" s="497" t="s">
        <v>1144</v>
      </c>
      <c r="F2" s="269"/>
      <c r="G2" s="269"/>
      <c r="H2" s="269"/>
      <c r="M2" s="1343"/>
      <c r="N2" s="1343"/>
      <c r="Q2" s="268" t="str">
        <f>IF(OR(申請書!B29="○",申請書!B33="○",申請書!B37="○"),"○","利用不可")</f>
        <v>利用不可</v>
      </c>
    </row>
    <row r="3" spans="1:18" ht="17.5" customHeight="1">
      <c r="B3" s="93"/>
      <c r="C3" s="94"/>
      <c r="D3" s="1344" t="str">
        <f>IF(K3="×","※申請書の事業区分を選択すると右欄に「×」印が表示され、「×」印を削除すると表の入力が可能となります⇒","")</f>
        <v>※申請書の事業区分を選択すると右欄に「×」印が表示され、「×」印を削除すると表の入力が可能となります⇒</v>
      </c>
      <c r="E3" s="1345"/>
      <c r="F3" s="1345"/>
      <c r="G3" s="1345"/>
      <c r="H3" s="1345"/>
      <c r="I3" s="1345"/>
      <c r="J3" s="1345"/>
      <c r="K3" s="632" t="s">
        <v>1176</v>
      </c>
      <c r="L3" s="484" t="str">
        <f>IF(OR(Q2="○"),"←利用可","←利用不可")</f>
        <v>←利用不可</v>
      </c>
      <c r="M3" s="152" t="s">
        <v>207</v>
      </c>
      <c r="N3" s="155" t="s">
        <v>53</v>
      </c>
      <c r="Q3" s="268" t="s">
        <v>53</v>
      </c>
    </row>
    <row r="4" spans="1:18" ht="13.5" customHeight="1">
      <c r="B4" s="1346" t="s">
        <v>208</v>
      </c>
      <c r="C4" s="1347"/>
      <c r="D4" s="161" t="s">
        <v>446</v>
      </c>
      <c r="E4" s="156" t="s">
        <v>447</v>
      </c>
      <c r="F4" s="161" t="s">
        <v>448</v>
      </c>
      <c r="G4" s="156" t="s">
        <v>449</v>
      </c>
      <c r="H4" s="161" t="s">
        <v>450</v>
      </c>
      <c r="I4" s="156" t="s">
        <v>451</v>
      </c>
      <c r="J4" s="161" t="s">
        <v>452</v>
      </c>
      <c r="K4" s="156" t="s">
        <v>453</v>
      </c>
      <c r="L4" s="161" t="s">
        <v>454</v>
      </c>
      <c r="M4" s="156" t="s">
        <v>455</v>
      </c>
      <c r="N4" s="161" t="s">
        <v>456</v>
      </c>
      <c r="Q4" s="268" t="s">
        <v>394</v>
      </c>
    </row>
    <row r="5" spans="1:18" ht="15" customHeight="1">
      <c r="B5" s="1348"/>
      <c r="C5" s="1349"/>
      <c r="D5" s="162" t="str">
        <f>IF(E5="令和６年","令和５年",IF(E5="令和７年","令和６年",IF(E5="令和８年","令和７年","")))</f>
        <v/>
      </c>
      <c r="E5" s="276"/>
      <c r="F5" s="163" t="str">
        <f>IF(E5="令和６年","令和７年",IF(E5="令和７年","令和８年",IF(E5="令和８年","令和９年","")))</f>
        <v/>
      </c>
      <c r="G5" s="157" t="str">
        <f>IF(E5="令和６年","令和８年",IF(E5="令和７年","令和９年",IF(E5="令和８年","令和１０年","")))</f>
        <v/>
      </c>
      <c r="H5" s="164" t="str">
        <f>IF(E5="令和６年","令和９年",IF(E5="令和７年","令和１０年",IF(E5="令和８年","令和１１年","")))</f>
        <v/>
      </c>
      <c r="I5" s="157" t="str">
        <f>IF(E5="令和６年","令和１０年",IF(E5="令和７年","令和１１年",IF(E5="令和８年","令和１２年","")))</f>
        <v/>
      </c>
      <c r="J5" s="164" t="str">
        <f>IF(E5="令和６年","令和１１年",IF(E5="令和７年","令和１２年",IF(E5="令和８年","令和１３年","")))</f>
        <v/>
      </c>
      <c r="K5" s="157" t="str">
        <f>IF(E5="令和６年","令和１２年",IF(E5="令和７年","令和１３年",IF(E5="令和８年","令和１４年","")))</f>
        <v/>
      </c>
      <c r="L5" s="164" t="str">
        <f>IF(E5="令和６年","令和１３年",IF(E5="令和７年","令和１４年",IF(E5="令和８年","令和１５年","")))</f>
        <v/>
      </c>
      <c r="M5" s="157" t="str">
        <f>IF(E5="令和６年","令和１４年",IF(E5="令和７年","令和１５年",IF(E5="令和８年","令和１６年","")))</f>
        <v/>
      </c>
      <c r="N5" s="164" t="str">
        <f>IF(E5="令和６年","令和１５年",IF(E5="令和７年","令和１６年",IF(E5="令和８年","令和１７年","")))</f>
        <v/>
      </c>
    </row>
    <row r="6" spans="1:18" ht="15" customHeight="1">
      <c r="B6" s="1350"/>
      <c r="C6" s="1351"/>
      <c r="D6" s="188">
        <f>E6</f>
        <v>0</v>
      </c>
      <c r="E6" s="277"/>
      <c r="F6" s="188">
        <f>E6</f>
        <v>0</v>
      </c>
      <c r="G6" s="189">
        <f t="shared" ref="G6:N6" si="0">F6</f>
        <v>0</v>
      </c>
      <c r="H6" s="188">
        <f t="shared" si="0"/>
        <v>0</v>
      </c>
      <c r="I6" s="189">
        <f>H6</f>
        <v>0</v>
      </c>
      <c r="J6" s="188">
        <f t="shared" si="0"/>
        <v>0</v>
      </c>
      <c r="K6" s="189">
        <f t="shared" si="0"/>
        <v>0</v>
      </c>
      <c r="L6" s="188">
        <f t="shared" si="0"/>
        <v>0</v>
      </c>
      <c r="M6" s="189">
        <f t="shared" si="0"/>
        <v>0</v>
      </c>
      <c r="N6" s="188">
        <f t="shared" si="0"/>
        <v>0</v>
      </c>
    </row>
    <row r="7" spans="1:18" ht="19.5" customHeight="1">
      <c r="B7" s="1352" t="s">
        <v>209</v>
      </c>
      <c r="C7" s="1352"/>
      <c r="D7" s="270"/>
      <c r="E7" s="192"/>
      <c r="F7" s="192"/>
      <c r="G7" s="192"/>
      <c r="H7" s="270"/>
      <c r="I7" s="270"/>
      <c r="J7" s="270"/>
      <c r="K7" s="270"/>
      <c r="L7" s="270"/>
      <c r="M7" s="270"/>
      <c r="N7" s="270"/>
      <c r="Q7" s="271"/>
    </row>
    <row r="8" spans="1:18" ht="19.5" customHeight="1" thickBot="1">
      <c r="B8" s="1353" t="s">
        <v>210</v>
      </c>
      <c r="C8" s="1353"/>
      <c r="D8" s="190" t="str">
        <f>IF(E27&lt;10,"","投資回収NG")</f>
        <v/>
      </c>
      <c r="E8" s="191" t="str">
        <f>IFERROR(IF(E22=E23,"○",""),"")</f>
        <v/>
      </c>
      <c r="F8" s="191" t="str">
        <f t="shared" ref="F8:N8" si="1">IFERROR(IF(F22=F23,"○",""),"")</f>
        <v/>
      </c>
      <c r="G8" s="191" t="str">
        <f t="shared" si="1"/>
        <v/>
      </c>
      <c r="H8" s="191" t="str">
        <f t="shared" si="1"/>
        <v/>
      </c>
      <c r="I8" s="191" t="str">
        <f t="shared" si="1"/>
        <v/>
      </c>
      <c r="J8" s="191" t="str">
        <f t="shared" si="1"/>
        <v/>
      </c>
      <c r="K8" s="191" t="str">
        <f t="shared" si="1"/>
        <v/>
      </c>
      <c r="L8" s="191" t="str">
        <f t="shared" si="1"/>
        <v/>
      </c>
      <c r="M8" s="191" t="str">
        <f t="shared" si="1"/>
        <v/>
      </c>
      <c r="N8" s="191" t="str">
        <f t="shared" si="1"/>
        <v/>
      </c>
      <c r="Q8" s="271" t="s">
        <v>438</v>
      </c>
      <c r="R8" s="269" t="s">
        <v>409</v>
      </c>
    </row>
    <row r="9" spans="1:18" ht="22" customHeight="1" thickTop="1">
      <c r="B9" s="1352" t="s">
        <v>211</v>
      </c>
      <c r="C9" s="1352"/>
      <c r="D9" s="193"/>
      <c r="E9" s="193"/>
      <c r="F9" s="193"/>
      <c r="G9" s="193"/>
      <c r="H9" s="193"/>
      <c r="I9" s="193"/>
      <c r="J9" s="193"/>
      <c r="K9" s="193"/>
      <c r="L9" s="193"/>
      <c r="M9" s="193"/>
      <c r="N9" s="193"/>
    </row>
    <row r="10" spans="1:18" ht="22" customHeight="1">
      <c r="B10" s="1354" t="s">
        <v>542</v>
      </c>
      <c r="C10" s="96" t="s">
        <v>213</v>
      </c>
      <c r="D10" s="193"/>
      <c r="E10" s="144">
        <f t="shared" ref="E10:N10" si="2">D12</f>
        <v>0</v>
      </c>
      <c r="F10" s="144">
        <f t="shared" si="2"/>
        <v>0</v>
      </c>
      <c r="G10" s="144">
        <f t="shared" si="2"/>
        <v>0</v>
      </c>
      <c r="H10" s="144">
        <f t="shared" si="2"/>
        <v>0</v>
      </c>
      <c r="I10" s="144">
        <f t="shared" si="2"/>
        <v>0</v>
      </c>
      <c r="J10" s="144">
        <f t="shared" si="2"/>
        <v>0</v>
      </c>
      <c r="K10" s="144">
        <f t="shared" si="2"/>
        <v>0</v>
      </c>
      <c r="L10" s="144">
        <f t="shared" si="2"/>
        <v>0</v>
      </c>
      <c r="M10" s="144">
        <f t="shared" si="2"/>
        <v>0</v>
      </c>
      <c r="N10" s="144">
        <f t="shared" si="2"/>
        <v>0</v>
      </c>
    </row>
    <row r="11" spans="1:18" ht="22" customHeight="1">
      <c r="B11" s="1354"/>
      <c r="C11" s="96" t="s">
        <v>214</v>
      </c>
      <c r="D11" s="193"/>
      <c r="E11" s="193"/>
      <c r="F11" s="193"/>
      <c r="G11" s="193"/>
      <c r="H11" s="193"/>
      <c r="I11" s="193"/>
      <c r="J11" s="193"/>
      <c r="K11" s="193"/>
      <c r="L11" s="193"/>
      <c r="M11" s="193"/>
      <c r="N11" s="193"/>
    </row>
    <row r="12" spans="1:18" ht="22" customHeight="1">
      <c r="B12" s="1354"/>
      <c r="C12" s="96" t="s">
        <v>215</v>
      </c>
      <c r="D12" s="144">
        <f t="shared" ref="D12:N12" si="3">D10+D11</f>
        <v>0</v>
      </c>
      <c r="E12" s="144">
        <f t="shared" si="3"/>
        <v>0</v>
      </c>
      <c r="F12" s="144">
        <f t="shared" si="3"/>
        <v>0</v>
      </c>
      <c r="G12" s="144">
        <f t="shared" si="3"/>
        <v>0</v>
      </c>
      <c r="H12" s="144">
        <f t="shared" si="3"/>
        <v>0</v>
      </c>
      <c r="I12" s="144">
        <f t="shared" si="3"/>
        <v>0</v>
      </c>
      <c r="J12" s="144">
        <f t="shared" si="3"/>
        <v>0</v>
      </c>
      <c r="K12" s="144">
        <f t="shared" si="3"/>
        <v>0</v>
      </c>
      <c r="L12" s="144">
        <f t="shared" si="3"/>
        <v>0</v>
      </c>
      <c r="M12" s="144">
        <f t="shared" si="3"/>
        <v>0</v>
      </c>
      <c r="N12" s="144">
        <f t="shared" si="3"/>
        <v>0</v>
      </c>
    </row>
    <row r="13" spans="1:18" ht="22" customHeight="1">
      <c r="B13" s="1338" t="s">
        <v>216</v>
      </c>
      <c r="C13" s="1338"/>
      <c r="D13" s="193"/>
      <c r="E13" s="193"/>
      <c r="F13" s="193"/>
      <c r="G13" s="193"/>
      <c r="H13" s="193"/>
      <c r="I13" s="193"/>
      <c r="J13" s="193"/>
      <c r="K13" s="193"/>
      <c r="L13" s="193"/>
      <c r="M13" s="193"/>
      <c r="N13" s="193"/>
    </row>
    <row r="14" spans="1:18" ht="22" customHeight="1">
      <c r="B14" s="1338" t="s">
        <v>217</v>
      </c>
      <c r="C14" s="1338"/>
      <c r="D14" s="193"/>
      <c r="E14" s="193"/>
      <c r="F14" s="193"/>
      <c r="G14" s="193"/>
      <c r="H14" s="193"/>
      <c r="I14" s="193"/>
      <c r="J14" s="193"/>
      <c r="K14" s="193"/>
      <c r="L14" s="193"/>
      <c r="M14" s="193"/>
      <c r="N14" s="193"/>
    </row>
    <row r="15" spans="1:18" ht="22" customHeight="1">
      <c r="B15" s="1355" t="s">
        <v>218</v>
      </c>
      <c r="C15" s="1356"/>
      <c r="D15" s="279"/>
      <c r="E15" s="193"/>
      <c r="F15" s="193"/>
      <c r="G15" s="193"/>
      <c r="H15" s="193"/>
      <c r="I15" s="193"/>
      <c r="J15" s="193"/>
      <c r="K15" s="193"/>
      <c r="L15" s="193"/>
      <c r="M15" s="193"/>
      <c r="N15" s="193"/>
    </row>
    <row r="16" spans="1:18" ht="22" customHeight="1">
      <c r="B16" s="1338" t="s">
        <v>219</v>
      </c>
      <c r="C16" s="1338"/>
      <c r="D16" s="193"/>
      <c r="E16" s="193"/>
      <c r="F16" s="193"/>
      <c r="G16" s="193"/>
      <c r="H16" s="193"/>
      <c r="I16" s="193"/>
      <c r="J16" s="193"/>
      <c r="K16" s="193"/>
      <c r="L16" s="193"/>
      <c r="M16" s="193"/>
      <c r="N16" s="193"/>
    </row>
    <row r="17" spans="2:17" ht="22" customHeight="1">
      <c r="B17" s="1355" t="s">
        <v>220</v>
      </c>
      <c r="C17" s="1356"/>
      <c r="D17" s="279"/>
      <c r="E17" s="193"/>
      <c r="F17" s="193"/>
      <c r="G17" s="193"/>
      <c r="H17" s="193"/>
      <c r="I17" s="193"/>
      <c r="J17" s="193"/>
      <c r="K17" s="193"/>
      <c r="L17" s="193"/>
      <c r="M17" s="193"/>
      <c r="N17" s="193"/>
    </row>
    <row r="18" spans="2:17" ht="22" customHeight="1">
      <c r="B18" s="1338" t="s">
        <v>221</v>
      </c>
      <c r="C18" s="1338"/>
      <c r="D18" s="193"/>
      <c r="E18" s="193"/>
      <c r="F18" s="193"/>
      <c r="G18" s="193"/>
      <c r="H18" s="193"/>
      <c r="I18" s="193"/>
      <c r="J18" s="193"/>
      <c r="K18" s="193"/>
      <c r="L18" s="193"/>
      <c r="M18" s="193"/>
      <c r="N18" s="193"/>
    </row>
    <row r="19" spans="2:17" ht="22" customHeight="1" thickBot="1">
      <c r="B19" s="1358" t="s">
        <v>222</v>
      </c>
      <c r="C19" s="1359"/>
      <c r="D19" s="280"/>
      <c r="E19" s="194"/>
      <c r="F19" s="194"/>
      <c r="G19" s="194"/>
      <c r="H19" s="194"/>
      <c r="I19" s="194"/>
      <c r="J19" s="194"/>
      <c r="K19" s="194"/>
      <c r="L19" s="194"/>
      <c r="M19" s="194"/>
      <c r="N19" s="194"/>
    </row>
    <row r="20" spans="2:17" ht="24.75" customHeight="1" thickTop="1">
      <c r="B20" s="1360" t="s">
        <v>223</v>
      </c>
      <c r="C20" s="1361"/>
      <c r="D20" s="1362"/>
      <c r="E20" s="1363">
        <f>IF($N$3=Q3,H20/1000,IF($N$3=Q4,H20/1000000))</f>
        <v>0</v>
      </c>
      <c r="F20" s="1364"/>
      <c r="G20" s="1365"/>
      <c r="H20" s="281">
        <f>資金計画!I24</f>
        <v>0</v>
      </c>
      <c r="I20" s="282"/>
      <c r="J20" s="282"/>
      <c r="K20" s="282"/>
      <c r="L20" s="282"/>
      <c r="M20" s="282"/>
      <c r="N20" s="282"/>
    </row>
    <row r="21" spans="2:17" ht="24.75" customHeight="1">
      <c r="B21" s="1366" t="s">
        <v>224</v>
      </c>
      <c r="C21" s="1367"/>
      <c r="D21" s="1368"/>
      <c r="E21" s="165">
        <f t="shared" ref="E21:N21" si="4">E17+E19</f>
        <v>0</v>
      </c>
      <c r="F21" s="165">
        <f t="shared" si="4"/>
        <v>0</v>
      </c>
      <c r="G21" s="166">
        <f t="shared" si="4"/>
        <v>0</v>
      </c>
      <c r="H21" s="165">
        <f t="shared" si="4"/>
        <v>0</v>
      </c>
      <c r="I21" s="165">
        <f t="shared" si="4"/>
        <v>0</v>
      </c>
      <c r="J21" s="165">
        <f t="shared" si="4"/>
        <v>0</v>
      </c>
      <c r="K21" s="165">
        <f t="shared" si="4"/>
        <v>0</v>
      </c>
      <c r="L21" s="165">
        <f t="shared" si="4"/>
        <v>0</v>
      </c>
      <c r="M21" s="165">
        <f t="shared" si="4"/>
        <v>0</v>
      </c>
      <c r="N21" s="165">
        <f t="shared" si="4"/>
        <v>0</v>
      </c>
    </row>
    <row r="22" spans="2:17" ht="24.75" customHeight="1">
      <c r="B22" s="1369" t="s">
        <v>225</v>
      </c>
      <c r="C22" s="1369"/>
      <c r="D22" s="1369"/>
      <c r="E22" s="151">
        <f>E20-E21</f>
        <v>0</v>
      </c>
      <c r="F22" s="151">
        <f t="shared" ref="F22:N22" si="5">E22-F21</f>
        <v>0</v>
      </c>
      <c r="G22" s="167">
        <f t="shared" si="5"/>
        <v>0</v>
      </c>
      <c r="H22" s="151">
        <f t="shared" si="5"/>
        <v>0</v>
      </c>
      <c r="I22" s="151">
        <f t="shared" si="5"/>
        <v>0</v>
      </c>
      <c r="J22" s="151">
        <f t="shared" si="5"/>
        <v>0</v>
      </c>
      <c r="K22" s="151">
        <f t="shared" si="5"/>
        <v>0</v>
      </c>
      <c r="L22" s="151">
        <f t="shared" si="5"/>
        <v>0</v>
      </c>
      <c r="M22" s="151">
        <f t="shared" si="5"/>
        <v>0</v>
      </c>
      <c r="N22" s="151">
        <f t="shared" si="5"/>
        <v>0</v>
      </c>
    </row>
    <row r="23" spans="2:17" s="272" customFormat="1" ht="10.5" hidden="1" customHeight="1">
      <c r="B23" s="97"/>
      <c r="C23" s="98"/>
      <c r="D23" s="98"/>
      <c r="E23" s="86" t="str">
        <f t="shared" ref="E23:N23" si="6">IFERROR(SMALL($E$22:$N$22,COUNTIF($E$22:$N$22,"&lt;0")),"")</f>
        <v/>
      </c>
      <c r="F23" s="86" t="str">
        <f t="shared" si="6"/>
        <v/>
      </c>
      <c r="G23" s="168" t="str">
        <f t="shared" si="6"/>
        <v/>
      </c>
      <c r="H23" s="86" t="str">
        <f t="shared" si="6"/>
        <v/>
      </c>
      <c r="I23" s="86" t="str">
        <f t="shared" si="6"/>
        <v/>
      </c>
      <c r="J23" s="86" t="str">
        <f t="shared" si="6"/>
        <v/>
      </c>
      <c r="K23" s="86" t="str">
        <f t="shared" si="6"/>
        <v/>
      </c>
      <c r="L23" s="86" t="str">
        <f t="shared" si="6"/>
        <v/>
      </c>
      <c r="M23" s="86" t="str">
        <f t="shared" si="6"/>
        <v/>
      </c>
      <c r="N23" s="86" t="str">
        <f t="shared" si="6"/>
        <v/>
      </c>
      <c r="Q23" s="273"/>
    </row>
    <row r="24" spans="2:17" ht="24.75" customHeight="1">
      <c r="B24" s="1370" t="s">
        <v>226</v>
      </c>
      <c r="C24" s="1371"/>
      <c r="D24" s="1371"/>
      <c r="E24" s="142">
        <f>MAX(機械設備計画!T6:T13)</f>
        <v>0</v>
      </c>
      <c r="F24" s="99" t="s">
        <v>227</v>
      </c>
      <c r="G24" s="100" t="str">
        <f t="shared" ref="G24:N24" si="7">IF(G22&gt;=0,"未回収","回収済")</f>
        <v>未回収</v>
      </c>
      <c r="H24" s="100" t="str">
        <f t="shared" si="7"/>
        <v>未回収</v>
      </c>
      <c r="I24" s="100" t="str">
        <f t="shared" si="7"/>
        <v>未回収</v>
      </c>
      <c r="J24" s="100" t="str">
        <f t="shared" si="7"/>
        <v>未回収</v>
      </c>
      <c r="K24" s="100" t="str">
        <f t="shared" si="7"/>
        <v>未回収</v>
      </c>
      <c r="L24" s="100" t="str">
        <f t="shared" si="7"/>
        <v>未回収</v>
      </c>
      <c r="M24" s="100" t="str">
        <f t="shared" si="7"/>
        <v>未回収</v>
      </c>
      <c r="N24" s="100" t="str">
        <f t="shared" si="7"/>
        <v>未回収</v>
      </c>
    </row>
    <row r="25" spans="2:17" ht="21" customHeight="1">
      <c r="B25" s="1372" t="s">
        <v>209</v>
      </c>
      <c r="C25" s="1373"/>
      <c r="D25" s="1373"/>
      <c r="E25" s="142" t="str">
        <f>IF(E7="○","1",IF(F7="○","2",IF(G7="○","3","0")))</f>
        <v>0</v>
      </c>
      <c r="F25" s="101" t="s">
        <v>228</v>
      </c>
      <c r="G25" s="100"/>
      <c r="H25" s="100"/>
      <c r="I25" s="100"/>
      <c r="J25" s="100"/>
      <c r="K25" s="100"/>
      <c r="L25" s="100"/>
      <c r="M25" s="100"/>
      <c r="N25" s="100"/>
    </row>
    <row r="26" spans="2:17" ht="21" customHeight="1">
      <c r="B26" s="1372" t="s">
        <v>210</v>
      </c>
      <c r="C26" s="1373"/>
      <c r="D26" s="1373"/>
      <c r="E26" s="143" t="b">
        <f>IF(E22=E23,"1",IF(F22=F23,"2",IF(G22=G23,"3",IF(H22=H23,"4",IF(I22=I23,"5",IF(J22=J23,"6",IF(K22=K23,"7",IF(L22=L23,"8",IF(M22=M23,"9",IF(N22=N23,"10"))))))))))</f>
        <v>0</v>
      </c>
      <c r="F26" s="101" t="s">
        <v>228</v>
      </c>
      <c r="G26" s="158"/>
      <c r="H26"/>
      <c r="I26" s="160"/>
      <c r="J26" s="159"/>
    </row>
    <row r="27" spans="2:17" ht="21" customHeight="1">
      <c r="B27" s="1372" t="s">
        <v>229</v>
      </c>
      <c r="C27" s="1373"/>
      <c r="D27" s="1373"/>
      <c r="E27" s="195">
        <f>IFERROR(E26-E25,"投資回収不備")</f>
        <v>0</v>
      </c>
      <c r="F27" s="101" t="s">
        <v>227</v>
      </c>
      <c r="G27" s="1357" t="str">
        <f>IF(AND(E27&gt;=0,E27&lt;10),"投資回収 ok","投資回収できていません; 収支計画を見直してください")</f>
        <v>投資回収 ok</v>
      </c>
      <c r="H27" s="1057"/>
      <c r="I27" s="1057"/>
      <c r="J27" s="1057"/>
      <c r="P27" s="268"/>
      <c r="Q27" s="95"/>
    </row>
    <row r="28" spans="2:17" ht="11.25" customHeight="1">
      <c r="E28" s="100" t="str">
        <f>IF(E22&gt;=0,"未回収","回収済")</f>
        <v>未回収</v>
      </c>
      <c r="F28" s="100" t="str">
        <f>IF(F22&gt;=0,"未回収","回収済")</f>
        <v>未回収</v>
      </c>
    </row>
    <row r="29" spans="2:17" ht="3" customHeight="1"/>
    <row r="34" spans="2:39" ht="12.75" customHeight="1"/>
    <row r="35" spans="2:39" s="301" customFormat="1" ht="20.25" customHeight="1">
      <c r="B35" s="301" t="s">
        <v>530</v>
      </c>
      <c r="AD35" s="314"/>
      <c r="AE35" s="314"/>
      <c r="AF35" s="314"/>
      <c r="AG35" s="314"/>
      <c r="AH35" s="314"/>
      <c r="AI35" s="315"/>
      <c r="AJ35" s="314"/>
      <c r="AK35" s="314"/>
      <c r="AL35" s="314"/>
      <c r="AM35" s="314"/>
    </row>
    <row r="36" spans="2:39" s="274" customFormat="1" ht="15" customHeight="1">
      <c r="Q36" s="275"/>
    </row>
    <row r="37" spans="2:39" s="274" customFormat="1" ht="15.75" customHeight="1">
      <c r="C37" s="275" t="s">
        <v>471</v>
      </c>
      <c r="D37" s="275" t="s">
        <v>557</v>
      </c>
      <c r="E37" s="275" t="s">
        <v>558</v>
      </c>
      <c r="F37" s="275" t="s">
        <v>559</v>
      </c>
      <c r="G37" s="275" t="s">
        <v>560</v>
      </c>
      <c r="H37" s="275" t="s">
        <v>561</v>
      </c>
      <c r="I37" s="275" t="s">
        <v>562</v>
      </c>
      <c r="J37" s="275" t="s">
        <v>563</v>
      </c>
      <c r="K37" s="275" t="s">
        <v>564</v>
      </c>
      <c r="L37" s="275" t="s">
        <v>565</v>
      </c>
      <c r="M37" s="275" t="s">
        <v>566</v>
      </c>
      <c r="N37" s="275" t="s">
        <v>567</v>
      </c>
      <c r="Q37" s="275"/>
    </row>
    <row r="38" spans="2:39" s="274" customFormat="1" ht="15.75" customHeight="1">
      <c r="C38" s="275" t="s">
        <v>472</v>
      </c>
      <c r="D38" s="275" t="s">
        <v>558</v>
      </c>
      <c r="E38" s="275" t="s">
        <v>559</v>
      </c>
      <c r="F38" s="275" t="s">
        <v>560</v>
      </c>
      <c r="G38" s="275" t="s">
        <v>561</v>
      </c>
      <c r="H38" s="275" t="s">
        <v>562</v>
      </c>
      <c r="I38" s="275" t="s">
        <v>563</v>
      </c>
      <c r="J38" s="275" t="s">
        <v>564</v>
      </c>
      <c r="K38" s="275" t="s">
        <v>565</v>
      </c>
      <c r="L38" s="275" t="s">
        <v>566</v>
      </c>
      <c r="M38" s="275" t="s">
        <v>567</v>
      </c>
      <c r="N38" s="275" t="s">
        <v>568</v>
      </c>
      <c r="Q38" s="275"/>
    </row>
    <row r="39" spans="2:39" s="274" customFormat="1" ht="15.75" customHeight="1">
      <c r="C39" s="275" t="s">
        <v>473</v>
      </c>
      <c r="D39" s="275" t="s">
        <v>559</v>
      </c>
      <c r="E39" s="275" t="s">
        <v>560</v>
      </c>
      <c r="F39" s="275" t="s">
        <v>561</v>
      </c>
      <c r="G39" s="275" t="s">
        <v>562</v>
      </c>
      <c r="H39" s="275" t="s">
        <v>563</v>
      </c>
      <c r="I39" s="275" t="s">
        <v>564</v>
      </c>
      <c r="J39" s="275" t="s">
        <v>565</v>
      </c>
      <c r="K39" s="275" t="s">
        <v>566</v>
      </c>
      <c r="L39" s="275" t="s">
        <v>567</v>
      </c>
      <c r="M39" s="275" t="s">
        <v>568</v>
      </c>
      <c r="N39" s="275" t="s">
        <v>569</v>
      </c>
      <c r="Q39" s="275"/>
    </row>
    <row r="40" spans="2:39" s="274" customFormat="1" ht="15.75" customHeight="1">
      <c r="C40" s="275" t="s">
        <v>474</v>
      </c>
      <c r="D40" s="275"/>
      <c r="Q40" s="275"/>
    </row>
    <row r="41" spans="2:39" s="274" customFormat="1" ht="15.75" customHeight="1">
      <c r="C41" s="275" t="s">
        <v>475</v>
      </c>
      <c r="D41" s="275"/>
      <c r="E41" s="275" t="s">
        <v>555</v>
      </c>
      <c r="Q41" s="275"/>
    </row>
    <row r="42" spans="2:39" s="274" customFormat="1" ht="15.75" customHeight="1">
      <c r="C42" s="275" t="s">
        <v>476</v>
      </c>
      <c r="D42" s="275"/>
      <c r="E42" s="275" t="s">
        <v>556</v>
      </c>
      <c r="Q42" s="275"/>
    </row>
    <row r="43" spans="2:39" s="274" customFormat="1" ht="15.75" customHeight="1">
      <c r="C43" s="275" t="s">
        <v>477</v>
      </c>
      <c r="D43" s="275"/>
      <c r="E43" s="275" t="s">
        <v>557</v>
      </c>
      <c r="Q43" s="275"/>
    </row>
    <row r="44" spans="2:39" s="274" customFormat="1" ht="15.75" customHeight="1">
      <c r="C44" s="275" t="s">
        <v>478</v>
      </c>
      <c r="D44" s="275"/>
      <c r="Q44" s="275"/>
    </row>
    <row r="45" spans="2:39" s="274" customFormat="1" ht="15.75" customHeight="1">
      <c r="C45" s="275" t="s">
        <v>479</v>
      </c>
      <c r="D45" s="275"/>
      <c r="Q45" s="275"/>
    </row>
    <row r="46" spans="2:39" s="274" customFormat="1" ht="15.75" customHeight="1">
      <c r="C46" s="275" t="s">
        <v>548</v>
      </c>
      <c r="D46" s="275"/>
      <c r="F46" s="275"/>
      <c r="Q46" s="275"/>
    </row>
    <row r="47" spans="2:39" s="274" customFormat="1" ht="15.75" customHeight="1">
      <c r="C47" s="275" t="s">
        <v>549</v>
      </c>
      <c r="D47" s="275"/>
      <c r="F47" s="275"/>
      <c r="Q47" s="275"/>
    </row>
    <row r="48" spans="2:39" s="274" customFormat="1" ht="15.75" customHeight="1">
      <c r="C48" s="275" t="s">
        <v>550</v>
      </c>
      <c r="D48" s="275"/>
      <c r="F48" s="275"/>
      <c r="Q48" s="275"/>
    </row>
    <row r="49" spans="4:17" s="274" customFormat="1" ht="15.75" customHeight="1">
      <c r="D49" s="275"/>
      <c r="E49" s="275"/>
      <c r="F49" s="275"/>
      <c r="Q49" s="275"/>
    </row>
    <row r="50" spans="4:17" s="274" customFormat="1" ht="15.75" customHeight="1">
      <c r="D50" s="275"/>
      <c r="E50" s="275"/>
      <c r="F50" s="275"/>
      <c r="Q50" s="275"/>
    </row>
    <row r="51" spans="4:17" s="274" customFormat="1" ht="15.75" customHeight="1">
      <c r="D51" s="268" t="s">
        <v>457</v>
      </c>
      <c r="E51" s="268" t="s">
        <v>554</v>
      </c>
      <c r="F51" s="275"/>
      <c r="Q51" s="275"/>
    </row>
    <row r="52" spans="4:17" s="274" customFormat="1" ht="15.75" customHeight="1">
      <c r="D52" s="268" t="s">
        <v>458</v>
      </c>
      <c r="E52" s="268" t="s">
        <v>555</v>
      </c>
      <c r="F52" s="275"/>
      <c r="Q52" s="275"/>
    </row>
    <row r="53" spans="4:17" s="274" customFormat="1" ht="15.75" customHeight="1">
      <c r="D53" s="268" t="s">
        <v>459</v>
      </c>
      <c r="E53" s="268" t="s">
        <v>556</v>
      </c>
      <c r="F53" s="275"/>
      <c r="Q53" s="275"/>
    </row>
    <row r="54" spans="4:17" s="274" customFormat="1" ht="15.75" customHeight="1">
      <c r="D54" s="268" t="s">
        <v>460</v>
      </c>
      <c r="E54" s="268" t="s">
        <v>557</v>
      </c>
      <c r="F54" s="275"/>
      <c r="Q54" s="275"/>
    </row>
    <row r="55" spans="4:17" s="274" customFormat="1" ht="15.75" customHeight="1">
      <c r="D55" s="268" t="s">
        <v>461</v>
      </c>
      <c r="E55" s="268" t="s">
        <v>558</v>
      </c>
      <c r="F55" s="275"/>
      <c r="Q55" s="275"/>
    </row>
    <row r="56" spans="4:17">
      <c r="D56" s="268" t="s">
        <v>462</v>
      </c>
      <c r="E56" s="268" t="s">
        <v>559</v>
      </c>
      <c r="F56" s="275"/>
    </row>
    <row r="57" spans="4:17">
      <c r="D57" s="268" t="s">
        <v>463</v>
      </c>
      <c r="E57" s="268" t="s">
        <v>560</v>
      </c>
      <c r="F57" s="275"/>
    </row>
    <row r="58" spans="4:17">
      <c r="D58" s="268" t="s">
        <v>464</v>
      </c>
      <c r="E58" s="268" t="s">
        <v>561</v>
      </c>
      <c r="F58" s="275"/>
    </row>
    <row r="59" spans="4:17">
      <c r="D59" s="268" t="s">
        <v>465</v>
      </c>
      <c r="E59" s="268" t="s">
        <v>562</v>
      </c>
      <c r="F59" s="275"/>
    </row>
    <row r="60" spans="4:17">
      <c r="D60" s="268" t="s">
        <v>466</v>
      </c>
      <c r="E60" s="268" t="s">
        <v>563</v>
      </c>
      <c r="F60" s="275"/>
    </row>
    <row r="61" spans="4:17">
      <c r="D61" s="268" t="s">
        <v>467</v>
      </c>
      <c r="E61" s="268" t="s">
        <v>564</v>
      </c>
      <c r="F61" s="275"/>
    </row>
    <row r="62" spans="4:17">
      <c r="D62" s="268" t="s">
        <v>468</v>
      </c>
      <c r="E62" s="268" t="s">
        <v>565</v>
      </c>
      <c r="F62" s="275"/>
    </row>
    <row r="63" spans="4:17">
      <c r="D63" s="268" t="s">
        <v>469</v>
      </c>
      <c r="E63" s="268" t="s">
        <v>566</v>
      </c>
      <c r="F63" s="275"/>
    </row>
    <row r="64" spans="4:17">
      <c r="D64" s="268" t="s">
        <v>470</v>
      </c>
      <c r="E64" s="268" t="s">
        <v>567</v>
      </c>
      <c r="F64" s="275"/>
    </row>
    <row r="65" spans="4:6">
      <c r="D65" s="268" t="s">
        <v>480</v>
      </c>
      <c r="E65" s="268" t="s">
        <v>568</v>
      </c>
      <c r="F65" s="275"/>
    </row>
    <row r="66" spans="4:6">
      <c r="D66" s="268" t="s">
        <v>481</v>
      </c>
      <c r="E66" s="268" t="s">
        <v>569</v>
      </c>
    </row>
    <row r="67" spans="4:6">
      <c r="D67" s="268" t="s">
        <v>482</v>
      </c>
      <c r="E67" s="268" t="s">
        <v>570</v>
      </c>
    </row>
    <row r="68" spans="4:6">
      <c r="D68" s="268" t="s">
        <v>483</v>
      </c>
      <c r="E68" s="268" t="s">
        <v>571</v>
      </c>
    </row>
  </sheetData>
  <sheetProtection algorithmName="SHA-512" hashValue="s5K2pu/4I0oab9RPe2K1Xw4G8Y5vGHzBD8z1gpsdq0bofOsbbPaYWY7O/PKW3RdhgmzmaoHUilSkNLORj3vDQg==" saltValue="BW3rwufNzrU3GCWme7OXag==" spinCount="100000" sheet="1" selectLockedCells="1"/>
  <mergeCells count="24">
    <mergeCell ref="G27:J27"/>
    <mergeCell ref="B17:C17"/>
    <mergeCell ref="B18:C18"/>
    <mergeCell ref="B19:C19"/>
    <mergeCell ref="B20:D20"/>
    <mergeCell ref="E20:G20"/>
    <mergeCell ref="B21:D21"/>
    <mergeCell ref="B22:D22"/>
    <mergeCell ref="B24:D24"/>
    <mergeCell ref="B25:D25"/>
    <mergeCell ref="B26:D26"/>
    <mergeCell ref="B27:D27"/>
    <mergeCell ref="B16:C16"/>
    <mergeCell ref="A1:E1"/>
    <mergeCell ref="M1:N2"/>
    <mergeCell ref="D3:J3"/>
    <mergeCell ref="B4:C6"/>
    <mergeCell ref="B7:C7"/>
    <mergeCell ref="B8:C8"/>
    <mergeCell ref="B9:C9"/>
    <mergeCell ref="B10:B12"/>
    <mergeCell ref="B13:C13"/>
    <mergeCell ref="B14:C14"/>
    <mergeCell ref="B15:C15"/>
  </mergeCells>
  <phoneticPr fontId="1"/>
  <conditionalFormatting sqref="D8">
    <cfRule type="containsText" dxfId="84" priority="14" operator="containsText" text="投資回収NG">
      <formula>NOT(ISERROR(SEARCH("投資回収NG",D8)))</formula>
    </cfRule>
  </conditionalFormatting>
  <conditionalFormatting sqref="D9:D11">
    <cfRule type="expression" dxfId="83" priority="10">
      <formula>D9=""</formula>
    </cfRule>
  </conditionalFormatting>
  <conditionalFormatting sqref="D5:N5 D3:J3">
    <cfRule type="containsText" dxfId="82" priority="21" operator="containsText" text="※申請書の事業区分を選択すると右欄に「×」印が表示され、「×」印を削除すると表の入力が可能となります⇒">
      <formula>NOT(ISERROR(SEARCH("※申請書の事業区分を選択すると右欄に「×」印が表示され、「×」印を削除すると表の入力が可能となります⇒",D3)))</formula>
    </cfRule>
  </conditionalFormatting>
  <conditionalFormatting sqref="D13:N14">
    <cfRule type="expression" dxfId="81" priority="8">
      <formula>D13=""</formula>
    </cfRule>
  </conditionalFormatting>
  <conditionalFormatting sqref="D16:N16">
    <cfRule type="expression" dxfId="80" priority="6">
      <formula>D16=""</formula>
    </cfRule>
  </conditionalFormatting>
  <conditionalFormatting sqref="D18:N18">
    <cfRule type="expression" dxfId="79" priority="4">
      <formula>D18=""</formula>
    </cfRule>
  </conditionalFormatting>
  <conditionalFormatting sqref="E5:E6">
    <cfRule type="expression" dxfId="78" priority="18">
      <formula>E5=""</formula>
    </cfRule>
  </conditionalFormatting>
  <conditionalFormatting sqref="E26">
    <cfRule type="expression" dxfId="77" priority="13">
      <formula>E26=FALSE</formula>
    </cfRule>
  </conditionalFormatting>
  <conditionalFormatting sqref="E27">
    <cfRule type="containsText" dxfId="76" priority="19" operator="containsText" text="投資回収不備">
      <formula>NOT(ISERROR(SEARCH("投資回収不備",E27)))</formula>
    </cfRule>
  </conditionalFormatting>
  <conditionalFormatting sqref="E7:G7">
    <cfRule type="expression" dxfId="75" priority="17">
      <formula>AND($E$7="",$F$7="",$G$7="")</formula>
    </cfRule>
  </conditionalFormatting>
  <conditionalFormatting sqref="E9:N9">
    <cfRule type="expression" dxfId="74" priority="11">
      <formula>E9=""</formula>
    </cfRule>
  </conditionalFormatting>
  <conditionalFormatting sqref="E11:N11">
    <cfRule type="expression" dxfId="73" priority="9">
      <formula>E11=""</formula>
    </cfRule>
  </conditionalFormatting>
  <conditionalFormatting sqref="E15:N15">
    <cfRule type="expression" dxfId="72" priority="7">
      <formula>E15=""</formula>
    </cfRule>
  </conditionalFormatting>
  <conditionalFormatting sqref="E17:N17">
    <cfRule type="expression" dxfId="71" priority="5">
      <formula>E17=""</formula>
    </cfRule>
  </conditionalFormatting>
  <conditionalFormatting sqref="E19:N19">
    <cfRule type="expression" dxfId="70" priority="3">
      <formula>E19=""</formula>
    </cfRule>
  </conditionalFormatting>
  <conditionalFormatting sqref="G27:J27">
    <cfRule type="containsText" dxfId="69" priority="12" operator="containsText" text="投資回収できていません; 収支計画を見直してください">
      <formula>NOT(ISERROR(SEARCH("投資回収できていません; 収支計画を見直してください",G27)))</formula>
    </cfRule>
  </conditionalFormatting>
  <conditionalFormatting sqref="H26">
    <cfRule type="containsText" dxfId="68" priority="20" operator="containsText" text="投資回収不備">
      <formula>NOT(ISERROR(SEARCH("投資回収不備",H26)))</formula>
    </cfRule>
  </conditionalFormatting>
  <conditionalFormatting sqref="K3">
    <cfRule type="expression" dxfId="67" priority="2">
      <formula>L3="←利用不可"</formula>
    </cfRule>
    <cfRule type="expression" dxfId="66" priority="15">
      <formula>K3="×"</formula>
    </cfRule>
  </conditionalFormatting>
  <conditionalFormatting sqref="L3">
    <cfRule type="expression" dxfId="65" priority="1">
      <formula>L3="←利用不可"</formula>
    </cfRule>
  </conditionalFormatting>
  <conditionalFormatting sqref="R14">
    <cfRule type="expression" dxfId="64" priority="16">
      <formula>N3=""</formula>
    </cfRule>
  </conditionalFormatting>
  <dataValidations count="8">
    <dataValidation type="custom" imeMode="off" allowBlank="1" showInputMessage="1" showErrorMessage="1" error="事業区分を確認し、表右上の「×」印を削除してください。　削除後に表の数字入力が可能となります。" sqref="D9:N9 D10:D11 E11:N11 D13:N14 E15:N15 D16:N16 E17:N17 D18:N18 E19:N19" xr:uid="{00000000-0002-0000-0700-000000000000}">
      <formula1>$K$3</formula1>
    </dataValidation>
    <dataValidation imeMode="off" allowBlank="1" showInputMessage="1" showErrorMessage="1" sqref="D15 D17 D19" xr:uid="{00000000-0002-0000-0700-000001000000}"/>
    <dataValidation type="list" allowBlank="1" showInputMessage="1" showErrorMessage="1" promptTitle="投資実行期を選択して〇印を付してください" prompt="ドロップダウンリスト ▼から選択できます" sqref="E7:G7" xr:uid="{00000000-0002-0000-0700-000002000000}">
      <formula1>$R$7:$R$8</formula1>
    </dataValidation>
    <dataValidation type="list" allowBlank="1" showInputMessage="1" showErrorMessage="1" sqref="E5" xr:uid="{00000000-0002-0000-0700-000003000000}">
      <formula1>$G$36:$G$39</formula1>
    </dataValidation>
    <dataValidation type="list" allowBlank="1" showInputMessage="1" showErrorMessage="1" sqref="E6" xr:uid="{00000000-0002-0000-0700-000004000000}">
      <formula1>$C$36:$C$48</formula1>
    </dataValidation>
    <dataValidation type="list" allowBlank="1" showInputMessage="1" showErrorMessage="1" sqref="N3" xr:uid="{00000000-0002-0000-0700-000005000000}">
      <formula1>$Q$2:$Q$4</formula1>
    </dataValidation>
    <dataValidation type="list" allowBlank="1" showInputMessage="1" showErrorMessage="1" promptTitle="×を削除してください。" prompt="「Delete」キーで削除 又はドロップダウンリスト▼ から空欄を選択してください" sqref="K3" xr:uid="{00000000-0002-0000-0700-000006000000}">
      <formula1>$Q$7:$Q$8</formula1>
    </dataValidation>
    <dataValidation allowBlank="1" showInputMessage="1" showErrorMessage="1" promptTitle="投資回収期は自動で「〇印」が付与されます" prompt="収支計画表の各金額を入力完了すると自動で「〇印」が付与されます_x000a__x000a_選択不要" sqref="D8:N8" xr:uid="{00000000-0002-0000-0700-000007000000}"/>
  </dataValidations>
  <pageMargins left="0.70866141732283472" right="0.51181102362204722" top="0.74803149606299213" bottom="0.35433070866141736" header="0.31496062992125984" footer="0.11811023622047245"/>
  <pageSetup paperSize="9" scale="85" orientation="landscape" useFirstPageNumber="1" r:id="rId1"/>
  <headerFooter>
    <oddFooter>&amp;C5(2) -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pageSetUpPr fitToPage="1"/>
  </sheetPr>
  <dimension ref="A1:AM76"/>
  <sheetViews>
    <sheetView showGridLines="0" view="pageBreakPreview" zoomScaleNormal="100" zoomScaleSheetLayoutView="100" workbookViewId="0">
      <selection activeCell="K3" sqref="K3"/>
    </sheetView>
  </sheetViews>
  <sheetFormatPr defaultColWidth="9" defaultRowHeight="13"/>
  <cols>
    <col min="1" max="1" width="1.58203125" style="95" customWidth="1"/>
    <col min="2" max="2" width="8.5" style="95" customWidth="1"/>
    <col min="3" max="3" width="11.08203125" style="95" customWidth="1"/>
    <col min="4" max="14" width="11.58203125" style="95" customWidth="1"/>
    <col min="15" max="15" width="0.58203125" style="95" customWidth="1"/>
    <col min="16" max="16" width="4.08203125" style="95" customWidth="1"/>
    <col min="17" max="17" width="6.83203125" style="95" customWidth="1"/>
    <col min="18" max="27" width="4.08203125" style="95" customWidth="1"/>
    <col min="28" max="16384" width="9" style="95"/>
  </cols>
  <sheetData>
    <row r="1" spans="1:18" ht="5.25" customHeight="1">
      <c r="A1" s="1339">
        <f>申請書!Q12</f>
        <v>0</v>
      </c>
      <c r="B1" s="1340"/>
      <c r="C1" s="1340"/>
      <c r="D1" s="1340"/>
      <c r="E1" s="1340"/>
      <c r="M1" s="1341" t="s">
        <v>510</v>
      </c>
      <c r="N1" s="1342"/>
    </row>
    <row r="2" spans="1:18" ht="18" customHeight="1">
      <c r="B2" s="93" t="s">
        <v>517</v>
      </c>
      <c r="D2" s="200" t="s">
        <v>1145</v>
      </c>
      <c r="E2" s="583" t="s">
        <v>1146</v>
      </c>
      <c r="F2" s="118"/>
      <c r="G2" s="118"/>
      <c r="H2" s="118"/>
      <c r="I2" s="118"/>
      <c r="J2" s="118"/>
      <c r="K2" s="118"/>
      <c r="M2" s="1343"/>
      <c r="N2" s="1343"/>
      <c r="Q2" s="95" t="str">
        <f>IF(OR(申請書!B30="○",申請書!B31="○",申請書!B32="○",申請書!B34="○",申請書!B35="○",申請書!B36="○",申請書!B38="○",申請書!B39="○",申請書!B40="○",申請書!B43="○",申請書!B44="○",申請書!B45="○",申請書!B46="○",申請書!B47="○",申請書!B48="○",申請書!$B$49="○"),"○","利用不可")</f>
        <v>利用不可</v>
      </c>
    </row>
    <row r="3" spans="1:18" ht="15" customHeight="1">
      <c r="B3" s="93"/>
      <c r="C3" s="102"/>
      <c r="D3" s="1374" t="str">
        <f>IF(K3="×","※申請書の事業区分を選択すると右欄に「×」印が表示され、「×」印を削除すると表の入力が可能となります⇒","")</f>
        <v>※申請書の事業区分を選択すると右欄に「×」印が表示され、「×」印を削除すると表の入力が可能となります⇒</v>
      </c>
      <c r="E3" s="1345"/>
      <c r="F3" s="1345"/>
      <c r="G3" s="1345"/>
      <c r="H3" s="1345"/>
      <c r="I3" s="1345"/>
      <c r="J3" s="1345"/>
      <c r="K3" s="625" t="s">
        <v>1176</v>
      </c>
      <c r="L3" s="485" t="str">
        <f>IF(OR(Q2="○"),"←利用可","←利用不可")</f>
        <v>←利用不可</v>
      </c>
      <c r="M3" s="104" t="s">
        <v>207</v>
      </c>
      <c r="N3" s="145" t="s">
        <v>53</v>
      </c>
      <c r="Q3" s="269" t="s">
        <v>53</v>
      </c>
    </row>
    <row r="4" spans="1:18" ht="15" customHeight="1">
      <c r="B4" s="1346" t="s">
        <v>208</v>
      </c>
      <c r="C4" s="1347"/>
      <c r="D4" s="161" t="s">
        <v>446</v>
      </c>
      <c r="E4" s="156" t="s">
        <v>447</v>
      </c>
      <c r="F4" s="161" t="s">
        <v>448</v>
      </c>
      <c r="G4" s="156" t="s">
        <v>449</v>
      </c>
      <c r="H4" s="161" t="s">
        <v>450</v>
      </c>
      <c r="I4" s="156" t="s">
        <v>451</v>
      </c>
      <c r="J4" s="161" t="s">
        <v>452</v>
      </c>
      <c r="K4" s="156" t="s">
        <v>453</v>
      </c>
      <c r="L4" s="161" t="s">
        <v>454</v>
      </c>
      <c r="M4" s="156" t="s">
        <v>455</v>
      </c>
      <c r="N4" s="161" t="s">
        <v>456</v>
      </c>
      <c r="Q4" s="268" t="s">
        <v>394</v>
      </c>
    </row>
    <row r="5" spans="1:18" ht="16" customHeight="1">
      <c r="B5" s="1348"/>
      <c r="C5" s="1349"/>
      <c r="D5" s="162" t="str">
        <f>IF(E5="令和８年","令和７年",IF(E5="令和６年","令和５年",IF(E5="令和７年","令和６年","")))</f>
        <v/>
      </c>
      <c r="E5" s="330"/>
      <c r="F5" s="163" t="str">
        <f>IF(E5="令和８年","令和９年",IF(E5="令和６年","令和７年",IF(E5="令和７年","令和８年","")))</f>
        <v/>
      </c>
      <c r="G5" s="157" t="str">
        <f>IF(E5="令和８年","令和１０年",IF(E5="令和６年","令和８年",IF(E5="令和７年","令和９年","")))</f>
        <v/>
      </c>
      <c r="H5" s="164" t="str">
        <f>IF(E5="令和８年","令和１１年",IF(E5="令和６年","令和９年",IF(E5="令和７年","令和10年","")))</f>
        <v/>
      </c>
      <c r="I5" s="157" t="str">
        <f>IF(E5="令和８年","令和１２年",IF(E5="令和６年","令和10年",IF(E5="令和７年","令和11年","")))</f>
        <v/>
      </c>
      <c r="J5" s="164" t="str">
        <f>IF(E5="令和８年","令和１３年",IF(E5="令和６年","令和11年",IF(E5="令和７年","令和12年","")))</f>
        <v/>
      </c>
      <c r="K5" s="157" t="str">
        <f>IF(E5="令和８年","令和１４年",IF(E5="令和６年","令和12年",IF(E5="令和７年","令和13年","")))</f>
        <v/>
      </c>
      <c r="L5" s="164" t="str">
        <f>IF(E5="令和８年","令和１５年",IF(E5="令和６年","令和13年",IF(E5="令和７年","令和14年","")))</f>
        <v/>
      </c>
      <c r="M5" s="157" t="str">
        <f>IF(E5="令和８年","令和１６年",IF(E5="令和６年","令和14年",IF(E5="令和７年","令和15年","")))</f>
        <v/>
      </c>
      <c r="N5" s="164" t="str">
        <f>IF(E5="令和８年","令和１７年",IF(E5="令和６年","令和15年",IF(E5="令和７年","令和16年","")))</f>
        <v/>
      </c>
      <c r="Q5" s="268"/>
    </row>
    <row r="6" spans="1:18" ht="16" customHeight="1">
      <c r="B6" s="1350"/>
      <c r="C6" s="1351"/>
      <c r="D6" s="188">
        <f>E6</f>
        <v>0</v>
      </c>
      <c r="E6" s="277"/>
      <c r="F6" s="188">
        <f>E6</f>
        <v>0</v>
      </c>
      <c r="G6" s="189">
        <f t="shared" ref="G6:N6" si="0">F6</f>
        <v>0</v>
      </c>
      <c r="H6" s="188">
        <f t="shared" si="0"/>
        <v>0</v>
      </c>
      <c r="I6" s="189">
        <f>H6</f>
        <v>0</v>
      </c>
      <c r="J6" s="188">
        <f t="shared" si="0"/>
        <v>0</v>
      </c>
      <c r="K6" s="189">
        <f t="shared" si="0"/>
        <v>0</v>
      </c>
      <c r="L6" s="188">
        <f t="shared" si="0"/>
        <v>0</v>
      </c>
      <c r="M6" s="189">
        <f t="shared" si="0"/>
        <v>0</v>
      </c>
      <c r="N6" s="188">
        <f t="shared" si="0"/>
        <v>0</v>
      </c>
      <c r="Q6" s="268"/>
    </row>
    <row r="7" spans="1:18" ht="20.149999999999999" customHeight="1">
      <c r="B7" s="1352" t="s">
        <v>209</v>
      </c>
      <c r="C7" s="1352"/>
      <c r="D7" s="270"/>
      <c r="E7" s="192"/>
      <c r="F7" s="192"/>
      <c r="G7" s="192"/>
      <c r="H7" s="270"/>
      <c r="I7" s="270"/>
      <c r="J7" s="270"/>
      <c r="K7" s="270"/>
      <c r="L7" s="270"/>
      <c r="M7" s="270"/>
      <c r="N7" s="270"/>
      <c r="Q7" s="271"/>
    </row>
    <row r="8" spans="1:18" ht="20.149999999999999" customHeight="1" thickBot="1">
      <c r="B8" s="1353" t="s">
        <v>210</v>
      </c>
      <c r="C8" s="1353"/>
      <c r="D8" s="190" t="str">
        <f>IF(E36&lt;10,"","投資回収NG")</f>
        <v/>
      </c>
      <c r="E8" s="191" t="str">
        <f>IFERROR(IF(E31=E32,"○",""),"")</f>
        <v/>
      </c>
      <c r="F8" s="191" t="str">
        <f t="shared" ref="F8:N8" si="1">IFERROR(IF(F31=F32,"○",""),"")</f>
        <v/>
      </c>
      <c r="G8" s="191" t="str">
        <f t="shared" si="1"/>
        <v/>
      </c>
      <c r="H8" s="191" t="str">
        <f t="shared" si="1"/>
        <v/>
      </c>
      <c r="I8" s="191" t="str">
        <f t="shared" si="1"/>
        <v/>
      </c>
      <c r="J8" s="191" t="str">
        <f t="shared" si="1"/>
        <v/>
      </c>
      <c r="K8" s="191" t="str">
        <f t="shared" si="1"/>
        <v/>
      </c>
      <c r="L8" s="191" t="str">
        <f t="shared" si="1"/>
        <v/>
      </c>
      <c r="M8" s="191" t="str">
        <f t="shared" si="1"/>
        <v/>
      </c>
      <c r="N8" s="191" t="str">
        <f t="shared" si="1"/>
        <v/>
      </c>
      <c r="Q8" s="271" t="s">
        <v>438</v>
      </c>
      <c r="R8" s="269" t="s">
        <v>409</v>
      </c>
    </row>
    <row r="9" spans="1:18" ht="17.149999999999999" customHeight="1" thickTop="1">
      <c r="B9" s="1352" t="s">
        <v>211</v>
      </c>
      <c r="C9" s="1352"/>
      <c r="D9" s="626"/>
      <c r="E9" s="626"/>
      <c r="F9" s="626"/>
      <c r="G9" s="626"/>
      <c r="H9" s="626"/>
      <c r="I9" s="626"/>
      <c r="J9" s="626"/>
      <c r="K9" s="626"/>
      <c r="L9" s="626"/>
      <c r="M9" s="626"/>
      <c r="N9" s="626"/>
      <c r="Q9" s="268"/>
    </row>
    <row r="10" spans="1:18" ht="17.149999999999999" customHeight="1">
      <c r="B10" s="1354" t="s">
        <v>212</v>
      </c>
      <c r="C10" s="96" t="s">
        <v>213</v>
      </c>
      <c r="D10" s="627"/>
      <c r="E10" s="144">
        <f t="shared" ref="E10:N10" si="2">D12</f>
        <v>0</v>
      </c>
      <c r="F10" s="144">
        <f t="shared" si="2"/>
        <v>0</v>
      </c>
      <c r="G10" s="144">
        <f t="shared" si="2"/>
        <v>0</v>
      </c>
      <c r="H10" s="144">
        <f t="shared" si="2"/>
        <v>0</v>
      </c>
      <c r="I10" s="144">
        <f t="shared" si="2"/>
        <v>0</v>
      </c>
      <c r="J10" s="144">
        <f t="shared" si="2"/>
        <v>0</v>
      </c>
      <c r="K10" s="144">
        <f t="shared" si="2"/>
        <v>0</v>
      </c>
      <c r="L10" s="144">
        <f t="shared" si="2"/>
        <v>0</v>
      </c>
      <c r="M10" s="144">
        <f t="shared" si="2"/>
        <v>0</v>
      </c>
      <c r="N10" s="144">
        <f t="shared" si="2"/>
        <v>0</v>
      </c>
      <c r="Q10" s="268"/>
    </row>
    <row r="11" spans="1:18" ht="17.149999999999999" customHeight="1">
      <c r="B11" s="1354"/>
      <c r="C11" s="96" t="s">
        <v>214</v>
      </c>
      <c r="D11" s="627"/>
      <c r="E11" s="627"/>
      <c r="F11" s="627"/>
      <c r="G11" s="627"/>
      <c r="H11" s="627"/>
      <c r="I11" s="627"/>
      <c r="J11" s="627"/>
      <c r="K11" s="627"/>
      <c r="L11" s="627"/>
      <c r="M11" s="627"/>
      <c r="N11" s="627"/>
      <c r="Q11" s="268"/>
    </row>
    <row r="12" spans="1:18" ht="17.149999999999999" customHeight="1">
      <c r="B12" s="1354"/>
      <c r="C12" s="96" t="s">
        <v>215</v>
      </c>
      <c r="D12" s="144">
        <f t="shared" ref="D12:N12" si="3">D10+D11</f>
        <v>0</v>
      </c>
      <c r="E12" s="144">
        <f t="shared" si="3"/>
        <v>0</v>
      </c>
      <c r="F12" s="144">
        <f t="shared" si="3"/>
        <v>0</v>
      </c>
      <c r="G12" s="144">
        <f t="shared" si="3"/>
        <v>0</v>
      </c>
      <c r="H12" s="144">
        <f t="shared" si="3"/>
        <v>0</v>
      </c>
      <c r="I12" s="144">
        <f t="shared" si="3"/>
        <v>0</v>
      </c>
      <c r="J12" s="144">
        <f t="shared" si="3"/>
        <v>0</v>
      </c>
      <c r="K12" s="144">
        <f t="shared" si="3"/>
        <v>0</v>
      </c>
      <c r="L12" s="144">
        <f t="shared" si="3"/>
        <v>0</v>
      </c>
      <c r="M12" s="144">
        <f t="shared" si="3"/>
        <v>0</v>
      </c>
      <c r="N12" s="144">
        <f t="shared" si="3"/>
        <v>0</v>
      </c>
      <c r="Q12" s="268"/>
    </row>
    <row r="13" spans="1:18" ht="17.149999999999999" customHeight="1">
      <c r="B13" s="1338" t="s">
        <v>216</v>
      </c>
      <c r="C13" s="1338"/>
      <c r="D13" s="627"/>
      <c r="E13" s="627"/>
      <c r="F13" s="627"/>
      <c r="G13" s="627"/>
      <c r="H13" s="627"/>
      <c r="I13" s="627"/>
      <c r="J13" s="627"/>
      <c r="K13" s="627"/>
      <c r="L13" s="627"/>
      <c r="M13" s="627"/>
      <c r="N13" s="627"/>
      <c r="Q13" s="268"/>
    </row>
    <row r="14" spans="1:18" ht="17.149999999999999" customHeight="1">
      <c r="B14" s="1338" t="s">
        <v>217</v>
      </c>
      <c r="C14" s="1338"/>
      <c r="D14" s="627"/>
      <c r="E14" s="627"/>
      <c r="F14" s="627"/>
      <c r="G14" s="627"/>
      <c r="H14" s="627"/>
      <c r="I14" s="627"/>
      <c r="J14" s="627"/>
      <c r="K14" s="627"/>
      <c r="L14" s="627"/>
      <c r="M14" s="627"/>
      <c r="N14" s="627"/>
      <c r="Q14" s="268"/>
    </row>
    <row r="15" spans="1:18" ht="17.149999999999999" customHeight="1">
      <c r="B15" s="1355" t="s">
        <v>218</v>
      </c>
      <c r="C15" s="1356"/>
      <c r="D15" s="279"/>
      <c r="E15" s="627"/>
      <c r="F15" s="627"/>
      <c r="G15" s="627"/>
      <c r="H15" s="627"/>
      <c r="I15" s="627"/>
      <c r="J15" s="627"/>
      <c r="K15" s="627"/>
      <c r="L15" s="627"/>
      <c r="M15" s="627"/>
      <c r="N15" s="627"/>
      <c r="Q15" s="268"/>
    </row>
    <row r="16" spans="1:18" ht="17.149999999999999" customHeight="1">
      <c r="B16" s="1338" t="s">
        <v>219</v>
      </c>
      <c r="C16" s="1338"/>
      <c r="D16" s="627"/>
      <c r="E16" s="627"/>
      <c r="F16" s="627"/>
      <c r="G16" s="627"/>
      <c r="H16" s="627"/>
      <c r="I16" s="627"/>
      <c r="J16" s="627"/>
      <c r="K16" s="627"/>
      <c r="L16" s="627"/>
      <c r="M16" s="627"/>
      <c r="N16" s="627"/>
      <c r="Q16" s="268"/>
    </row>
    <row r="17" spans="2:17" ht="17.149999999999999" customHeight="1">
      <c r="B17" s="1355" t="s">
        <v>220</v>
      </c>
      <c r="C17" s="1356"/>
      <c r="D17" s="279"/>
      <c r="E17" s="627"/>
      <c r="F17" s="627"/>
      <c r="G17" s="627"/>
      <c r="H17" s="627"/>
      <c r="I17" s="627"/>
      <c r="J17" s="627"/>
      <c r="K17" s="627"/>
      <c r="L17" s="627"/>
      <c r="M17" s="627"/>
      <c r="N17" s="627"/>
      <c r="Q17" s="268"/>
    </row>
    <row r="18" spans="2:17" ht="17.149999999999999" customHeight="1">
      <c r="B18" s="1338" t="s">
        <v>221</v>
      </c>
      <c r="C18" s="1338"/>
      <c r="D18" s="627"/>
      <c r="E18" s="627"/>
      <c r="F18" s="627"/>
      <c r="G18" s="627"/>
      <c r="H18" s="627"/>
      <c r="I18" s="627"/>
      <c r="J18" s="627"/>
      <c r="K18" s="627"/>
      <c r="L18" s="627"/>
      <c r="M18" s="627"/>
      <c r="N18" s="627"/>
      <c r="Q18" s="268"/>
    </row>
    <row r="19" spans="2:17" ht="17.149999999999999" customHeight="1" thickBot="1">
      <c r="B19" s="1358" t="s">
        <v>222</v>
      </c>
      <c r="C19" s="1359"/>
      <c r="D19" s="399"/>
      <c r="E19" s="628"/>
      <c r="F19" s="628"/>
      <c r="G19" s="628"/>
      <c r="H19" s="628"/>
      <c r="I19" s="628"/>
      <c r="J19" s="628"/>
      <c r="K19" s="628"/>
      <c r="L19" s="628"/>
      <c r="M19" s="628"/>
      <c r="N19" s="628"/>
      <c r="Q19" s="268"/>
    </row>
    <row r="20" spans="2:17" ht="17.149999999999999" customHeight="1" thickTop="1">
      <c r="B20" s="1377" t="s">
        <v>230</v>
      </c>
      <c r="C20" s="1378"/>
      <c r="D20" s="627"/>
      <c r="E20" s="629"/>
      <c r="F20" s="629"/>
      <c r="G20" s="629"/>
      <c r="H20" s="629"/>
      <c r="I20" s="629"/>
      <c r="J20" s="629"/>
      <c r="K20" s="629"/>
      <c r="L20" s="629"/>
      <c r="M20" s="629"/>
      <c r="N20" s="629"/>
    </row>
    <row r="21" spans="2:17" ht="26.15" customHeight="1">
      <c r="B21" s="1379" t="s">
        <v>231</v>
      </c>
      <c r="C21" s="1380"/>
      <c r="D21" s="146">
        <f t="shared" ref="D21:N21" si="4">D16+D18+D20</f>
        <v>0</v>
      </c>
      <c r="E21" s="146">
        <f t="shared" si="4"/>
        <v>0</v>
      </c>
      <c r="F21" s="146">
        <f t="shared" si="4"/>
        <v>0</v>
      </c>
      <c r="G21" s="146">
        <f t="shared" si="4"/>
        <v>0</v>
      </c>
      <c r="H21" s="146">
        <f t="shared" si="4"/>
        <v>0</v>
      </c>
      <c r="I21" s="146">
        <f t="shared" si="4"/>
        <v>0</v>
      </c>
      <c r="J21" s="146">
        <f t="shared" si="4"/>
        <v>0</v>
      </c>
      <c r="K21" s="146">
        <f t="shared" si="4"/>
        <v>0</v>
      </c>
      <c r="L21" s="146">
        <f t="shared" si="4"/>
        <v>0</v>
      </c>
      <c r="M21" s="146">
        <f t="shared" si="4"/>
        <v>0</v>
      </c>
      <c r="N21" s="146">
        <f t="shared" si="4"/>
        <v>0</v>
      </c>
    </row>
    <row r="22" spans="2:17" ht="18" customHeight="1">
      <c r="B22" s="1375" t="s">
        <v>232</v>
      </c>
      <c r="C22" s="1376"/>
      <c r="D22" s="629"/>
      <c r="E22" s="629"/>
      <c r="F22" s="629"/>
      <c r="G22" s="629"/>
      <c r="H22" s="629"/>
      <c r="I22" s="629"/>
      <c r="J22" s="629"/>
      <c r="K22" s="629"/>
      <c r="L22" s="629"/>
      <c r="M22" s="629"/>
      <c r="N22" s="629"/>
    </row>
    <row r="23" spans="2:17" ht="25" customHeight="1">
      <c r="B23" s="1379" t="s">
        <v>239</v>
      </c>
      <c r="C23" s="1380"/>
      <c r="D23" s="146" t="str">
        <f>IFERROR(ROUND(D21/D22,0),"")</f>
        <v/>
      </c>
      <c r="E23" s="146" t="str">
        <f t="shared" ref="E23:N23" si="5">IFERROR(ROUND(E21/E22,0),"")</f>
        <v/>
      </c>
      <c r="F23" s="146" t="str">
        <f t="shared" si="5"/>
        <v/>
      </c>
      <c r="G23" s="146" t="str">
        <f t="shared" si="5"/>
        <v/>
      </c>
      <c r="H23" s="146" t="str">
        <f t="shared" si="5"/>
        <v/>
      </c>
      <c r="I23" s="146" t="str">
        <f t="shared" si="5"/>
        <v/>
      </c>
      <c r="J23" s="146" t="str">
        <f t="shared" si="5"/>
        <v/>
      </c>
      <c r="K23" s="146" t="str">
        <f t="shared" si="5"/>
        <v/>
      </c>
      <c r="L23" s="146" t="str">
        <f t="shared" si="5"/>
        <v/>
      </c>
      <c r="M23" s="146" t="str">
        <f t="shared" si="5"/>
        <v/>
      </c>
      <c r="N23" s="146" t="str">
        <f t="shared" si="5"/>
        <v/>
      </c>
    </row>
    <row r="24" spans="2:17" ht="2.5" customHeight="1" thickBot="1">
      <c r="B24" s="1381"/>
      <c r="C24" s="1382"/>
      <c r="D24" s="1382"/>
      <c r="E24" s="1382"/>
      <c r="F24" s="1382"/>
      <c r="G24" s="1383"/>
      <c r="H24" s="1383"/>
      <c r="I24" s="1383"/>
      <c r="J24" s="1383"/>
      <c r="K24" s="1383"/>
      <c r="L24" s="1383"/>
      <c r="M24" s="1383"/>
      <c r="N24" s="1384"/>
    </row>
    <row r="25" spans="2:17" ht="16" customHeight="1">
      <c r="B25" s="1387" t="s">
        <v>233</v>
      </c>
      <c r="C25" s="1388"/>
      <c r="D25" s="184" t="s">
        <v>234</v>
      </c>
      <c r="E25" s="184" t="s">
        <v>235</v>
      </c>
      <c r="F25" s="105" t="s">
        <v>236</v>
      </c>
      <c r="G25" s="1385"/>
      <c r="H25" s="1385"/>
      <c r="I25" s="1385"/>
      <c r="J25" s="1385"/>
      <c r="K25" s="1385"/>
      <c r="L25" s="1385"/>
      <c r="M25" s="1385"/>
      <c r="N25" s="1386"/>
    </row>
    <row r="26" spans="2:17" ht="25" customHeight="1">
      <c r="B26" s="1389" t="s">
        <v>237</v>
      </c>
      <c r="C26" s="1390"/>
      <c r="D26" s="147" t="e">
        <f>ROUNDDOWN(IF($E7="○",(G23-$D23)/ABS($D23),IF($F7="○",(H23-$D23)/ABS($D23),IF($G7="○",(I23-$D23)/ABS($D23),"error"))),3)</f>
        <v>#VALUE!</v>
      </c>
      <c r="E26" s="147" t="e">
        <f>ROUNDDOWN(IF($E7="○",(H23-$D23)/ABS($D23),IF($F7="○",(I23-$D23)/ABS($D23),IF($G7="○",(J23-$D23)/ABS($D23),"error"))),3)</f>
        <v>#VALUE!</v>
      </c>
      <c r="F26" s="148" t="e">
        <f>ROUNDDOWN(IF($E7="○",(I23-$D23)/ABS($D23),IF($F7="○",(J23-$D23)/ABS($D23),IF($G7="○",(K23-$D23)/ABS($D23),"error"))),3)</f>
        <v>#VALUE!</v>
      </c>
      <c r="G26" s="1385"/>
      <c r="H26" s="1385"/>
      <c r="I26" s="1385"/>
      <c r="J26" s="1385"/>
      <c r="K26" s="1385"/>
      <c r="L26" s="1385"/>
      <c r="M26" s="1385"/>
      <c r="N26" s="1386"/>
    </row>
    <row r="27" spans="2:17" ht="18" customHeight="1" thickBot="1">
      <c r="B27" s="1391" t="s">
        <v>238</v>
      </c>
      <c r="C27" s="1392"/>
      <c r="D27" s="149" t="str">
        <f>IFERROR(IF(D26&gt;=9%,"○","×"),"")</f>
        <v/>
      </c>
      <c r="E27" s="149" t="str">
        <f>IFERROR(IF(E26&gt;=12%,"○","×"),"")</f>
        <v/>
      </c>
      <c r="F27" s="150" t="str">
        <f>IFERROR(IF(F26&gt;=15%,"○","×"),"")</f>
        <v/>
      </c>
      <c r="G27" s="1385"/>
      <c r="H27" s="1385"/>
      <c r="I27" s="1385"/>
      <c r="J27" s="1385"/>
      <c r="K27" s="1385"/>
      <c r="L27" s="1385"/>
      <c r="M27" s="1385"/>
      <c r="N27" s="1386"/>
    </row>
    <row r="28" spans="2:17" ht="3" customHeight="1">
      <c r="B28" s="1393"/>
      <c r="C28" s="1394"/>
      <c r="D28" s="1394"/>
      <c r="E28" s="1394"/>
      <c r="F28" s="1394"/>
      <c r="G28" s="1385"/>
      <c r="H28" s="1385"/>
      <c r="I28" s="1385"/>
      <c r="J28" s="1385"/>
      <c r="K28" s="1385"/>
      <c r="L28" s="1385"/>
      <c r="M28" s="1385"/>
      <c r="N28" s="1386"/>
    </row>
    <row r="29" spans="2:17" ht="24" customHeight="1">
      <c r="B29" s="1401" t="s">
        <v>223</v>
      </c>
      <c r="C29" s="1402"/>
      <c r="D29" s="1403"/>
      <c r="E29" s="1404">
        <f>IF($N$3=Q3,H29/1000,IF($N$3=Q4,H29/1000000))</f>
        <v>0</v>
      </c>
      <c r="F29" s="1405"/>
      <c r="G29" s="1406"/>
      <c r="H29" s="283">
        <f>資金計画!I24</f>
        <v>0</v>
      </c>
      <c r="I29" s="284"/>
      <c r="J29" s="284"/>
      <c r="K29" s="284"/>
      <c r="L29" s="284"/>
      <c r="M29" s="284"/>
      <c r="N29" s="284"/>
    </row>
    <row r="30" spans="2:17" ht="24" customHeight="1">
      <c r="B30" s="1407" t="s">
        <v>224</v>
      </c>
      <c r="C30" s="1408"/>
      <c r="D30" s="1409"/>
      <c r="E30" s="151">
        <f t="shared" ref="E30:N30" si="6">E17+E19</f>
        <v>0</v>
      </c>
      <c r="F30" s="151">
        <f t="shared" si="6"/>
        <v>0</v>
      </c>
      <c r="G30" s="151">
        <f t="shared" si="6"/>
        <v>0</v>
      </c>
      <c r="H30" s="151">
        <f t="shared" si="6"/>
        <v>0</v>
      </c>
      <c r="I30" s="151">
        <f t="shared" si="6"/>
        <v>0</v>
      </c>
      <c r="J30" s="151">
        <f t="shared" si="6"/>
        <v>0</v>
      </c>
      <c r="K30" s="151">
        <f t="shared" si="6"/>
        <v>0</v>
      </c>
      <c r="L30" s="151">
        <f t="shared" si="6"/>
        <v>0</v>
      </c>
      <c r="M30" s="151">
        <f t="shared" si="6"/>
        <v>0</v>
      </c>
      <c r="N30" s="151">
        <f t="shared" si="6"/>
        <v>0</v>
      </c>
    </row>
    <row r="31" spans="2:17" ht="19.5" customHeight="1">
      <c r="B31" s="1407" t="s">
        <v>225</v>
      </c>
      <c r="C31" s="1408"/>
      <c r="D31" s="1409"/>
      <c r="E31" s="151">
        <f>$E$29-E30</f>
        <v>0</v>
      </c>
      <c r="F31" s="151">
        <f>$E$29-F30</f>
        <v>0</v>
      </c>
      <c r="G31" s="151">
        <f t="shared" ref="G31:N31" si="7">F31-G30</f>
        <v>0</v>
      </c>
      <c r="H31" s="151">
        <f t="shared" si="7"/>
        <v>0</v>
      </c>
      <c r="I31" s="151">
        <f t="shared" si="7"/>
        <v>0</v>
      </c>
      <c r="J31" s="151">
        <f t="shared" si="7"/>
        <v>0</v>
      </c>
      <c r="K31" s="151">
        <f t="shared" si="7"/>
        <v>0</v>
      </c>
      <c r="L31" s="151">
        <f t="shared" si="7"/>
        <v>0</v>
      </c>
      <c r="M31" s="151">
        <f t="shared" si="7"/>
        <v>0</v>
      </c>
      <c r="N31" s="151">
        <f t="shared" si="7"/>
        <v>0</v>
      </c>
    </row>
    <row r="32" spans="2:17" ht="12" hidden="1" customHeight="1">
      <c r="B32" s="185"/>
      <c r="C32" s="186"/>
      <c r="D32" s="187"/>
      <c r="E32" s="66" t="str">
        <f t="shared" ref="E32:N32" si="8">IFERROR(SMALL($E$31:$N$31,COUNTIF($E$31:$N$31,"&lt;0")),"")</f>
        <v/>
      </c>
      <c r="F32" s="66" t="str">
        <f t="shared" si="8"/>
        <v/>
      </c>
      <c r="G32" s="66" t="str">
        <f t="shared" si="8"/>
        <v/>
      </c>
      <c r="H32" s="66" t="str">
        <f t="shared" si="8"/>
        <v/>
      </c>
      <c r="I32" s="66" t="str">
        <f t="shared" si="8"/>
        <v/>
      </c>
      <c r="J32" s="66" t="str">
        <f t="shared" si="8"/>
        <v/>
      </c>
      <c r="K32" s="66" t="str">
        <f t="shared" si="8"/>
        <v/>
      </c>
      <c r="L32" s="66" t="str">
        <f t="shared" si="8"/>
        <v/>
      </c>
      <c r="M32" s="66" t="str">
        <f t="shared" si="8"/>
        <v/>
      </c>
      <c r="N32" s="66" t="str">
        <f t="shared" si="8"/>
        <v/>
      </c>
    </row>
    <row r="33" spans="2:39" ht="23.25" customHeight="1">
      <c r="B33" s="1407" t="s">
        <v>226</v>
      </c>
      <c r="C33" s="1408"/>
      <c r="D33" s="1409"/>
      <c r="E33" s="142">
        <f>MAX(機械設備計画!T6:T13)</f>
        <v>0</v>
      </c>
      <c r="F33" s="99" t="s">
        <v>227</v>
      </c>
      <c r="G33" s="106" t="str">
        <f t="shared" ref="G33:N33" si="9">IF(G31&gt;=0,"未回収","回収済")</f>
        <v>未回収</v>
      </c>
      <c r="H33" s="106" t="str">
        <f t="shared" si="9"/>
        <v>未回収</v>
      </c>
      <c r="I33" s="106" t="str">
        <f t="shared" si="9"/>
        <v>未回収</v>
      </c>
      <c r="J33" s="106" t="str">
        <f t="shared" si="9"/>
        <v>未回収</v>
      </c>
      <c r="K33" s="106" t="str">
        <f t="shared" si="9"/>
        <v>未回収</v>
      </c>
      <c r="L33" s="106" t="str">
        <f t="shared" si="9"/>
        <v>未回収</v>
      </c>
      <c r="M33" s="106" t="str">
        <f t="shared" si="9"/>
        <v>未回収</v>
      </c>
      <c r="N33" s="106" t="str">
        <f t="shared" si="9"/>
        <v>未回収</v>
      </c>
    </row>
    <row r="34" spans="2:39" ht="18" customHeight="1">
      <c r="B34" s="1372" t="s">
        <v>209</v>
      </c>
      <c r="C34" s="1373"/>
      <c r="D34" s="1373"/>
      <c r="E34" s="142" t="str">
        <f>IF(E7="○","1",IF(F7="○","2",IF(G7="○","3","0")))</f>
        <v>0</v>
      </c>
      <c r="F34" s="101" t="s">
        <v>228</v>
      </c>
      <c r="G34" s="196"/>
      <c r="H34" s="196"/>
      <c r="I34" s="196"/>
      <c r="J34" s="196"/>
      <c r="K34" s="196"/>
      <c r="L34" s="196"/>
      <c r="M34" s="196"/>
      <c r="N34" s="196"/>
    </row>
    <row r="35" spans="2:39" ht="18" customHeight="1">
      <c r="B35" s="1395" t="s">
        <v>210</v>
      </c>
      <c r="C35" s="1396"/>
      <c r="D35" s="1397"/>
      <c r="E35" s="143" t="b">
        <f>IF(E31=E32,"1",IF(F31=F32,"2",IF(G31=G32,"3",IF(H31=H32,"4",IF(I31=I32,"5",IF(J31=J32,"6",IF(K31=K32,"7",IF(L31=L32,"8",IF(M31=M32,"9",IF(N31=N32,"10"))))))))))</f>
        <v>0</v>
      </c>
      <c r="F35" s="101" t="s">
        <v>228</v>
      </c>
      <c r="G35" s="107"/>
      <c r="H35" s="103"/>
      <c r="I35" s="103"/>
      <c r="J35" s="103"/>
      <c r="K35" s="103"/>
      <c r="L35" s="103"/>
      <c r="M35" s="103"/>
      <c r="N35" s="103"/>
    </row>
    <row r="36" spans="2:39" ht="18" customHeight="1">
      <c r="B36" s="1398" t="s">
        <v>229</v>
      </c>
      <c r="C36" s="1399"/>
      <c r="D36" s="1400"/>
      <c r="E36" s="195">
        <f>IFERROR(E35-E34,"投資回収不備")</f>
        <v>0</v>
      </c>
      <c r="F36" s="101" t="s">
        <v>227</v>
      </c>
      <c r="G36" s="1357" t="str">
        <f>IF(AND(E36&gt;=0,E36&lt;10),"投資回収 ok","投資回収できていません; 収支計画を見直してください")</f>
        <v>投資回収 ok</v>
      </c>
      <c r="H36" s="1057"/>
      <c r="I36" s="1057"/>
      <c r="J36" s="1057"/>
      <c r="K36" s="103"/>
      <c r="L36" s="103"/>
      <c r="M36" s="103"/>
      <c r="N36" s="103"/>
    </row>
    <row r="37" spans="2:39" ht="9.65" customHeight="1">
      <c r="C37" s="103"/>
      <c r="D37" s="103"/>
      <c r="E37" s="106" t="str">
        <f>IF(E31&gt;=0,"未回収","回収済")</f>
        <v>未回収</v>
      </c>
      <c r="F37" s="106" t="str">
        <f>IF(F31&gt;=0,"未回収","回収済")</f>
        <v>未回収</v>
      </c>
      <c r="G37" s="103"/>
      <c r="H37" s="103"/>
      <c r="I37" s="103"/>
      <c r="J37" s="103"/>
      <c r="K37" s="103"/>
      <c r="L37" s="103"/>
      <c r="M37" s="103"/>
      <c r="N37" s="103"/>
    </row>
    <row r="38" spans="2:39" ht="3.65" customHeight="1"/>
    <row r="42" spans="2:39" s="301" customFormat="1" ht="20.25" customHeight="1">
      <c r="B42" s="301" t="s">
        <v>530</v>
      </c>
      <c r="AD42" s="314"/>
      <c r="AE42" s="314"/>
      <c r="AF42" s="314"/>
      <c r="AG42" s="314"/>
      <c r="AH42" s="314"/>
      <c r="AI42" s="315"/>
      <c r="AJ42" s="314"/>
      <c r="AK42" s="314"/>
      <c r="AL42" s="314"/>
      <c r="AM42" s="314"/>
    </row>
    <row r="43" spans="2:39" s="274" customFormat="1" ht="15.75" customHeight="1">
      <c r="Q43" s="275"/>
    </row>
    <row r="44" spans="2:39" s="274" customFormat="1" ht="15.75" customHeight="1">
      <c r="C44" s="275" t="s">
        <v>471</v>
      </c>
      <c r="D44" s="275" t="s">
        <v>557</v>
      </c>
      <c r="E44" s="275" t="s">
        <v>558</v>
      </c>
      <c r="F44" s="275" t="s">
        <v>559</v>
      </c>
      <c r="G44" s="275" t="s">
        <v>560</v>
      </c>
      <c r="H44" s="275" t="s">
        <v>561</v>
      </c>
      <c r="I44" s="275" t="s">
        <v>562</v>
      </c>
      <c r="J44" s="275" t="s">
        <v>563</v>
      </c>
      <c r="K44" s="275" t="s">
        <v>564</v>
      </c>
      <c r="L44" s="275" t="s">
        <v>565</v>
      </c>
      <c r="M44" s="275" t="s">
        <v>566</v>
      </c>
      <c r="N44" s="275" t="s">
        <v>567</v>
      </c>
      <c r="Q44" s="275"/>
    </row>
    <row r="45" spans="2:39" s="274" customFormat="1" ht="15.75" customHeight="1">
      <c r="C45" s="275" t="s">
        <v>472</v>
      </c>
      <c r="D45" s="275" t="s">
        <v>558</v>
      </c>
      <c r="E45" s="275" t="s">
        <v>559</v>
      </c>
      <c r="F45" s="275" t="s">
        <v>560</v>
      </c>
      <c r="G45" s="275" t="s">
        <v>561</v>
      </c>
      <c r="H45" s="275" t="s">
        <v>562</v>
      </c>
      <c r="I45" s="275" t="s">
        <v>563</v>
      </c>
      <c r="J45" s="275" t="s">
        <v>564</v>
      </c>
      <c r="K45" s="275" t="s">
        <v>565</v>
      </c>
      <c r="L45" s="275" t="s">
        <v>566</v>
      </c>
      <c r="M45" s="275" t="s">
        <v>567</v>
      </c>
      <c r="N45" s="275" t="s">
        <v>568</v>
      </c>
      <c r="Q45" s="275"/>
    </row>
    <row r="46" spans="2:39" s="274" customFormat="1" ht="15.75" customHeight="1">
      <c r="C46" s="275" t="s">
        <v>473</v>
      </c>
      <c r="D46" s="275" t="s">
        <v>559</v>
      </c>
      <c r="E46" s="275" t="s">
        <v>560</v>
      </c>
      <c r="F46" s="275" t="s">
        <v>561</v>
      </c>
      <c r="G46" s="275" t="s">
        <v>562</v>
      </c>
      <c r="H46" s="275" t="s">
        <v>563</v>
      </c>
      <c r="I46" s="275" t="s">
        <v>564</v>
      </c>
      <c r="J46" s="275" t="s">
        <v>565</v>
      </c>
      <c r="K46" s="275" t="s">
        <v>566</v>
      </c>
      <c r="L46" s="275" t="s">
        <v>567</v>
      </c>
      <c r="M46" s="275" t="s">
        <v>568</v>
      </c>
      <c r="N46" s="275" t="s">
        <v>569</v>
      </c>
      <c r="Q46" s="275"/>
    </row>
    <row r="47" spans="2:39" s="274" customFormat="1" ht="15.75" customHeight="1">
      <c r="C47" s="275" t="s">
        <v>474</v>
      </c>
      <c r="D47" s="275"/>
      <c r="Q47" s="275"/>
    </row>
    <row r="48" spans="2:39" s="274" customFormat="1" ht="15.75" customHeight="1">
      <c r="C48" s="275" t="s">
        <v>475</v>
      </c>
      <c r="D48" s="275"/>
      <c r="E48" s="275" t="s">
        <v>555</v>
      </c>
      <c r="Q48" s="275"/>
    </row>
    <row r="49" spans="3:17" s="274" customFormat="1" ht="15.75" customHeight="1">
      <c r="C49" s="275" t="s">
        <v>476</v>
      </c>
      <c r="D49" s="275"/>
      <c r="E49" s="275" t="s">
        <v>556</v>
      </c>
      <c r="Q49" s="275"/>
    </row>
    <row r="50" spans="3:17" s="274" customFormat="1" ht="15.75" customHeight="1">
      <c r="C50" s="275" t="s">
        <v>477</v>
      </c>
      <c r="D50" s="275"/>
      <c r="E50" s="275" t="s">
        <v>557</v>
      </c>
      <c r="Q50" s="275"/>
    </row>
    <row r="51" spans="3:17" s="274" customFormat="1" ht="15.75" customHeight="1">
      <c r="C51" s="275" t="s">
        <v>478</v>
      </c>
      <c r="D51" s="275"/>
      <c r="Q51" s="275"/>
    </row>
    <row r="52" spans="3:17" s="274" customFormat="1" ht="15.75" customHeight="1">
      <c r="C52" s="275" t="s">
        <v>479</v>
      </c>
      <c r="D52" s="275"/>
      <c r="Q52" s="275"/>
    </row>
    <row r="53" spans="3:17" s="274" customFormat="1" ht="15.75" customHeight="1">
      <c r="C53" s="275" t="s">
        <v>548</v>
      </c>
      <c r="D53" s="275"/>
      <c r="F53" s="275"/>
      <c r="Q53" s="275"/>
    </row>
    <row r="54" spans="3:17" s="274" customFormat="1" ht="15.75" customHeight="1">
      <c r="C54" s="275" t="s">
        <v>549</v>
      </c>
      <c r="D54" s="275"/>
      <c r="F54" s="275"/>
      <c r="Q54" s="275"/>
    </row>
    <row r="55" spans="3:17" s="274" customFormat="1" ht="15.75" customHeight="1">
      <c r="C55" s="275" t="s">
        <v>550</v>
      </c>
      <c r="D55" s="275"/>
      <c r="F55" s="275"/>
      <c r="Q55" s="275"/>
    </row>
    <row r="56" spans="3:17" s="274" customFormat="1" ht="15.75" customHeight="1">
      <c r="D56" s="275"/>
      <c r="E56" s="275"/>
      <c r="F56" s="275"/>
      <c r="Q56" s="275"/>
    </row>
    <row r="57" spans="3:17" s="274" customFormat="1" ht="15.75" customHeight="1">
      <c r="D57" s="275"/>
      <c r="E57" s="275"/>
      <c r="F57" s="275"/>
      <c r="Q57" s="275"/>
    </row>
    <row r="58" spans="3:17" s="274" customFormat="1" ht="15.75" customHeight="1">
      <c r="D58" s="268" t="s">
        <v>457</v>
      </c>
      <c r="E58" s="268" t="s">
        <v>554</v>
      </c>
      <c r="F58" s="275"/>
      <c r="Q58" s="275"/>
    </row>
    <row r="59" spans="3:17" s="274" customFormat="1" ht="15.75" customHeight="1">
      <c r="D59" s="268" t="s">
        <v>458</v>
      </c>
      <c r="E59" s="268" t="s">
        <v>555</v>
      </c>
      <c r="F59" s="275"/>
      <c r="Q59" s="275"/>
    </row>
    <row r="60" spans="3:17" s="274" customFormat="1" ht="15.75" customHeight="1">
      <c r="D60" s="268" t="s">
        <v>459</v>
      </c>
      <c r="E60" s="268" t="s">
        <v>556</v>
      </c>
      <c r="F60" s="275"/>
      <c r="Q60" s="275"/>
    </row>
    <row r="61" spans="3:17" s="274" customFormat="1" ht="15.75" customHeight="1">
      <c r="D61" s="268" t="s">
        <v>460</v>
      </c>
      <c r="E61" s="268" t="s">
        <v>557</v>
      </c>
      <c r="F61" s="275"/>
      <c r="Q61" s="275"/>
    </row>
    <row r="62" spans="3:17" s="274" customFormat="1" ht="15.75" customHeight="1">
      <c r="D62" s="268" t="s">
        <v>461</v>
      </c>
      <c r="E62" s="268" t="s">
        <v>558</v>
      </c>
      <c r="F62" s="275"/>
      <c r="Q62" s="275"/>
    </row>
    <row r="63" spans="3:17">
      <c r="D63" s="268" t="s">
        <v>462</v>
      </c>
      <c r="E63" s="268" t="s">
        <v>559</v>
      </c>
      <c r="F63" s="275"/>
      <c r="Q63" s="268"/>
    </row>
    <row r="64" spans="3:17">
      <c r="D64" s="268" t="s">
        <v>463</v>
      </c>
      <c r="E64" s="268" t="s">
        <v>560</v>
      </c>
      <c r="F64" s="275"/>
      <c r="Q64" s="268"/>
    </row>
    <row r="65" spans="4:17">
      <c r="D65" s="268" t="s">
        <v>464</v>
      </c>
      <c r="E65" s="268" t="s">
        <v>561</v>
      </c>
      <c r="F65" s="275"/>
      <c r="Q65" s="268"/>
    </row>
    <row r="66" spans="4:17">
      <c r="D66" s="268" t="s">
        <v>465</v>
      </c>
      <c r="E66" s="268" t="s">
        <v>562</v>
      </c>
      <c r="F66" s="275"/>
      <c r="Q66" s="268"/>
    </row>
    <row r="67" spans="4:17">
      <c r="D67" s="268" t="s">
        <v>466</v>
      </c>
      <c r="E67" s="268" t="s">
        <v>563</v>
      </c>
      <c r="F67" s="275"/>
      <c r="Q67" s="268"/>
    </row>
    <row r="68" spans="4:17">
      <c r="D68" s="268" t="s">
        <v>467</v>
      </c>
      <c r="E68" s="268" t="s">
        <v>564</v>
      </c>
      <c r="F68" s="275"/>
      <c r="Q68" s="268"/>
    </row>
    <row r="69" spans="4:17">
      <c r="D69" s="268" t="s">
        <v>468</v>
      </c>
      <c r="E69" s="268" t="s">
        <v>565</v>
      </c>
      <c r="F69" s="275"/>
      <c r="Q69" s="268"/>
    </row>
    <row r="70" spans="4:17">
      <c r="D70" s="268" t="s">
        <v>469</v>
      </c>
      <c r="E70" s="268" t="s">
        <v>566</v>
      </c>
      <c r="F70" s="275"/>
      <c r="Q70" s="268"/>
    </row>
    <row r="71" spans="4:17">
      <c r="D71" s="268" t="s">
        <v>470</v>
      </c>
      <c r="E71" s="268" t="s">
        <v>567</v>
      </c>
      <c r="F71" s="275"/>
      <c r="Q71" s="268"/>
    </row>
    <row r="72" spans="4:17">
      <c r="D72" s="268" t="s">
        <v>480</v>
      </c>
      <c r="E72" s="268" t="s">
        <v>568</v>
      </c>
      <c r="F72" s="275"/>
      <c r="Q72" s="268"/>
    </row>
    <row r="73" spans="4:17">
      <c r="D73" s="268" t="s">
        <v>481</v>
      </c>
      <c r="E73" s="268" t="s">
        <v>569</v>
      </c>
      <c r="Q73" s="268"/>
    </row>
    <row r="74" spans="4:17">
      <c r="D74" s="268" t="s">
        <v>482</v>
      </c>
      <c r="E74" s="268" t="s">
        <v>570</v>
      </c>
      <c r="Q74" s="268"/>
    </row>
    <row r="75" spans="4:17">
      <c r="D75" s="268" t="s">
        <v>483</v>
      </c>
      <c r="E75" s="268" t="s">
        <v>571</v>
      </c>
      <c r="Q75" s="268"/>
    </row>
    <row r="76" spans="4:17">
      <c r="Q76" s="268"/>
    </row>
  </sheetData>
  <sheetProtection algorithmName="SHA-512" hashValue="3kB3ZSYkSLq3HDq0NvenX02cvvtLpYBngbfS7lp3AoYj6zlutBW9r7UteiC5dXprJkRsvRst9tyGgy7Nkk62cQ==" saltValue="DcfJoT01yVPR844uMSuw5A==" spinCount="100000" sheet="1" selectLockedCells="1"/>
  <mergeCells count="34">
    <mergeCell ref="B35:D35"/>
    <mergeCell ref="B36:D36"/>
    <mergeCell ref="G36:J36"/>
    <mergeCell ref="B29:D29"/>
    <mergeCell ref="E29:G29"/>
    <mergeCell ref="B30:D30"/>
    <mergeCell ref="B31:D31"/>
    <mergeCell ref="B33:D33"/>
    <mergeCell ref="B34:D34"/>
    <mergeCell ref="B23:C23"/>
    <mergeCell ref="B24:F24"/>
    <mergeCell ref="G24:N28"/>
    <mergeCell ref="B25:C25"/>
    <mergeCell ref="B26:C26"/>
    <mergeCell ref="B27:C27"/>
    <mergeCell ref="B28:F28"/>
    <mergeCell ref="B22:C22"/>
    <mergeCell ref="B9:C9"/>
    <mergeCell ref="B10:B12"/>
    <mergeCell ref="B13:C13"/>
    <mergeCell ref="B14:C14"/>
    <mergeCell ref="B15:C15"/>
    <mergeCell ref="B16:C16"/>
    <mergeCell ref="B17:C17"/>
    <mergeCell ref="B18:C18"/>
    <mergeCell ref="B19:C19"/>
    <mergeCell ref="B20:C20"/>
    <mergeCell ref="B21:C21"/>
    <mergeCell ref="B8:C8"/>
    <mergeCell ref="A1:E1"/>
    <mergeCell ref="M1:N2"/>
    <mergeCell ref="D3:J3"/>
    <mergeCell ref="B4:C6"/>
    <mergeCell ref="B7:C7"/>
  </mergeCells>
  <phoneticPr fontId="1"/>
  <conditionalFormatting sqref="D5">
    <cfRule type="containsText" dxfId="63" priority="1" operator="containsText" text="※申請書の事業区分を選択すると右欄に「×」印が表示され、「×」印を削除すると表の入力が可能となります⇒">
      <formula>NOT(ISERROR(SEARCH("※申請書の事業区分を選択すると右欄に「×」印が表示され、「×」印を削除すると表の入力が可能となります⇒",D5)))</formula>
    </cfRule>
  </conditionalFormatting>
  <conditionalFormatting sqref="D8">
    <cfRule type="containsText" dxfId="62" priority="28" operator="containsText" text="投資回収NG">
      <formula>NOT(ISERROR(SEARCH("投資回収NG",D8)))</formula>
    </cfRule>
  </conditionalFormatting>
  <conditionalFormatting sqref="D9:D11">
    <cfRule type="expression" dxfId="61" priority="13">
      <formula>D9=""</formula>
    </cfRule>
  </conditionalFormatting>
  <conditionalFormatting sqref="D20">
    <cfRule type="expression" dxfId="60" priority="16">
      <formula>D20=""</formula>
    </cfRule>
  </conditionalFormatting>
  <conditionalFormatting sqref="D26">
    <cfRule type="expression" dxfId="59" priority="19">
      <formula>ISERROR(D26)</formula>
    </cfRule>
  </conditionalFormatting>
  <conditionalFormatting sqref="D3:J3">
    <cfRule type="containsText" dxfId="58" priority="24" operator="containsText" text="※申請書の事業区分を選択すると右欄に「×」印が表示され、「×」印を削除すると表の入力が可能となります⇒">
      <formula>NOT(ISERROR(SEARCH("※申請書の事業区分を選択すると右欄に「×」印が表示され、「×」印を削除すると表の入力が可能となります⇒",D3)))</formula>
    </cfRule>
  </conditionalFormatting>
  <conditionalFormatting sqref="D13:N14">
    <cfRule type="expression" dxfId="57" priority="11">
      <formula>D13=""</formula>
    </cfRule>
  </conditionalFormatting>
  <conditionalFormatting sqref="D16:N16">
    <cfRule type="expression" dxfId="56" priority="9">
      <formula>D16=""</formula>
    </cfRule>
  </conditionalFormatting>
  <conditionalFormatting sqref="D18:N18">
    <cfRule type="expression" dxfId="55" priority="7">
      <formula>D18=""</formula>
    </cfRule>
  </conditionalFormatting>
  <conditionalFormatting sqref="D22:N22">
    <cfRule type="expression" dxfId="54" priority="15">
      <formula>D22=""</formula>
    </cfRule>
  </conditionalFormatting>
  <conditionalFormatting sqref="E5">
    <cfRule type="containsText" dxfId="53" priority="29" operator="containsText" text="※事業区分を確認した方は右欄の「×」印を削除してください（表の数字入力が可能となります）⇒">
      <formula>NOT(ISERROR(SEARCH("※事業区分を確認した方は右欄の「×」印を削除してください（表の数字入力が可能となります）⇒",E5)))</formula>
    </cfRule>
  </conditionalFormatting>
  <conditionalFormatting sqref="E5:E6">
    <cfRule type="expression" dxfId="52" priority="27">
      <formula>E5=""</formula>
    </cfRule>
  </conditionalFormatting>
  <conditionalFormatting sqref="E35">
    <cfRule type="expression" dxfId="51" priority="20">
      <formula>E35=FALSE</formula>
    </cfRule>
  </conditionalFormatting>
  <conditionalFormatting sqref="E36">
    <cfRule type="containsText" dxfId="50" priority="22" operator="containsText" text="投資回収不備">
      <formula>NOT(ISERROR(SEARCH("投資回収不備",E36)))</formula>
    </cfRule>
  </conditionalFormatting>
  <conditionalFormatting sqref="E26:F26">
    <cfRule type="expression" dxfId="49" priority="18">
      <formula>ISERROR(E26)</formula>
    </cfRule>
  </conditionalFormatting>
  <conditionalFormatting sqref="E7:G7">
    <cfRule type="expression" dxfId="48" priority="26">
      <formula>AND($E$7="",$F$7="",$G$7="")</formula>
    </cfRule>
  </conditionalFormatting>
  <conditionalFormatting sqref="E9:N9">
    <cfRule type="expression" dxfId="47" priority="14">
      <formula>E9=""</formula>
    </cfRule>
  </conditionalFormatting>
  <conditionalFormatting sqref="E11:N11">
    <cfRule type="expression" dxfId="46" priority="12">
      <formula>E11=""</formula>
    </cfRule>
  </conditionalFormatting>
  <conditionalFormatting sqref="E15:N15">
    <cfRule type="expression" dxfId="45" priority="10">
      <formula>E15=""</formula>
    </cfRule>
  </conditionalFormatting>
  <conditionalFormatting sqref="E17:N17">
    <cfRule type="expression" dxfId="44" priority="8">
      <formula>E17=""</formula>
    </cfRule>
  </conditionalFormatting>
  <conditionalFormatting sqref="E19:N20">
    <cfRule type="expression" dxfId="43" priority="6">
      <formula>E19=""</formula>
    </cfRule>
  </conditionalFormatting>
  <conditionalFormatting sqref="F5:N5">
    <cfRule type="containsText" dxfId="42" priority="2" operator="containsText" text="※申請書の事業区分を選択すると右欄に「×」印が表示され、「×」印を削除すると表の入力が可能となります⇒">
      <formula>NOT(ISERROR(SEARCH("※申請書の事業区分を選択すると右欄に「×」印が表示され、「×」印を削除すると表の入力が可能となります⇒",F5)))</formula>
    </cfRule>
  </conditionalFormatting>
  <conditionalFormatting sqref="G36:J36">
    <cfRule type="containsText" dxfId="41" priority="21" operator="containsText" text="投資回収できていません; 収支計画を見直してください">
      <formula>NOT(ISERROR(SEARCH("投資回収できていません; 収支計画を見直してください",G36)))</formula>
    </cfRule>
  </conditionalFormatting>
  <conditionalFormatting sqref="K3">
    <cfRule type="expression" dxfId="40" priority="5">
      <formula>L3="←利用不可"</formula>
    </cfRule>
    <cfRule type="expression" dxfId="39" priority="23">
      <formula>K3="×"</formula>
    </cfRule>
  </conditionalFormatting>
  <conditionalFormatting sqref="L3">
    <cfRule type="expression" dxfId="38" priority="4">
      <formula>L3="←利用不可"</formula>
    </cfRule>
  </conditionalFormatting>
  <conditionalFormatting sqref="R14">
    <cfRule type="expression" dxfId="37" priority="25">
      <formula>N3=""</formula>
    </cfRule>
  </conditionalFormatting>
  <dataValidations count="8">
    <dataValidation type="custom" imeMode="off" allowBlank="1" showInputMessage="1" showErrorMessage="1" error="事業区分を確認し、表右上の「×」印を削除してください。　削除後に表の数字入力が可能となります。" sqref="D22:N22 D20:N20 D9:N9 D10:D11 E11:N11 D13:N14 E15:N15 D16:N16 E17:N17 D18:N18 E19:N19" xr:uid="{00000000-0002-0000-0800-000000000000}">
      <formula1>$K$3</formula1>
    </dataValidation>
    <dataValidation imeMode="off" allowBlank="1" showInputMessage="1" showErrorMessage="1" sqref="D15 D17 D19" xr:uid="{00000000-0002-0000-0800-000001000000}"/>
    <dataValidation type="list" allowBlank="1" showInputMessage="1" showErrorMessage="1" promptTitle="×を削除してください。" prompt="「Delete」キーで削除 又はドロップダウンリスト▼ から空欄を選択してください" sqref="K3" xr:uid="{00000000-0002-0000-0800-000002000000}">
      <formula1>$Q$7:$Q$8</formula1>
    </dataValidation>
    <dataValidation type="list" allowBlank="1" showInputMessage="1" showErrorMessage="1" sqref="E6" xr:uid="{00000000-0002-0000-0800-000003000000}">
      <formula1>$C$43:$C$55</formula1>
    </dataValidation>
    <dataValidation type="list" allowBlank="1" showInputMessage="1" showErrorMessage="1" sqref="E5" xr:uid="{00000000-0002-0000-0800-000004000000}">
      <formula1>$G$43:$G$46</formula1>
    </dataValidation>
    <dataValidation type="list" allowBlank="1" showInputMessage="1" showErrorMessage="1" promptTitle="投資実行期を選択して〇印を付してください" prompt="ドロップダウンリスト ▼から選択できます" sqref="E7:G7" xr:uid="{00000000-0002-0000-0800-000005000000}">
      <formula1>$R$7:$R$8</formula1>
    </dataValidation>
    <dataValidation allowBlank="1" showInputMessage="1" showErrorMessage="1" promptTitle="投資回収期は自動で「〇印」が付与されます" prompt="収支計画表の各金額を入力完了すると自動で「〇印」が付与されます_x000a__x000a_選択不要" sqref="D8:N8" xr:uid="{00000000-0002-0000-0800-000006000000}"/>
    <dataValidation type="list" allowBlank="1" showInputMessage="1" showErrorMessage="1" sqref="N3" xr:uid="{00000000-0002-0000-0800-000007000000}">
      <formula1>$Q$2:$Q$4</formula1>
    </dataValidation>
  </dataValidations>
  <pageMargins left="0.70866141732283472" right="0.51181102362204722" top="0.35433070866141736" bottom="0.15748031496062992" header="0.31496062992125984" footer="0.11811023622047245"/>
  <pageSetup paperSize="9" scale="83" orientation="landscape" useFirstPageNumber="1" r:id="rId1"/>
  <headerFooter>
    <oddFooter>&amp;C5(2)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17</vt:i4>
      </vt:variant>
    </vt:vector>
  </HeadingPairs>
  <TitlesOfParts>
    <vt:vector size="30" baseType="lpstr">
      <vt:lpstr>申請前確認書 </vt:lpstr>
      <vt:lpstr>申請書</vt:lpstr>
      <vt:lpstr>追加設置場所</vt:lpstr>
      <vt:lpstr>株主名簿</vt:lpstr>
      <vt:lpstr>機械設備計画</vt:lpstr>
      <vt:lpstr>資金計画</vt:lpstr>
      <vt:lpstr>収支計画</vt:lpstr>
      <vt:lpstr>収支計画表１_区分Ⅰ(A1,B1、W1)用</vt:lpstr>
      <vt:lpstr>収支計画表２_区分ⅠⅡⅢⅣV用</vt:lpstr>
      <vt:lpstr>企業分類</vt:lpstr>
      <vt:lpstr>助成金申請上限</vt:lpstr>
      <vt:lpstr>使用不可公社専用</vt:lpstr>
      <vt:lpstr>入力規則(改変禁止)</vt:lpstr>
      <vt:lpstr>株主名簿!Print_Area</vt:lpstr>
      <vt:lpstr>機械設備計画!Print_Area</vt:lpstr>
      <vt:lpstr>資金計画!Print_Area</vt:lpstr>
      <vt:lpstr>収支計画!Print_Area</vt:lpstr>
      <vt:lpstr>'収支計画表１_区分Ⅰ(A1,B1、W1)用'!Print_Area</vt:lpstr>
      <vt:lpstr>収支計画表２_区分ⅠⅡⅢⅣV用!Print_Area</vt:lpstr>
      <vt:lpstr>助成金申請上限!Print_Area</vt:lpstr>
      <vt:lpstr>申請書!Print_Area</vt:lpstr>
      <vt:lpstr>'申請前確認書 '!Print_Area</vt:lpstr>
      <vt:lpstr>追加設置場所!Print_Area</vt:lpstr>
      <vt:lpstr>機械設備計画!Print_Titles</vt:lpstr>
      <vt:lpstr>資金計画!Print_Titles</vt:lpstr>
      <vt:lpstr>収支計画!Print_Titles</vt:lpstr>
      <vt:lpstr>'収支計画表１_区分Ⅰ(A1,B1、W1)用'!Print_Titles</vt:lpstr>
      <vt:lpstr>収支計画表２_区分ⅠⅡⅢⅣV用!Print_Titles</vt:lpstr>
      <vt:lpstr>申請書!Print_Titles</vt:lpstr>
      <vt:lpstr>資金計画!申請者区分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2023-05-15T05:32:39Z</dcterms:created>
  <dcterms:modified xsi:type="dcterms:W3CDTF">2025-09-08T04:38:23Z</dcterms:modified>
</cp:coreProperties>
</file>