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C1D0998B-E0AB-4D0B-94B0-B3BC092E961F}" xr6:coauthVersionLast="47" xr6:coauthVersionMax="47" xr10:uidLastSave="{00000000-0000-0000-0000-000000000000}"/>
  <bookViews>
    <workbookView xWindow="-28920" yWindow="-60" windowWidth="29040" windowHeight="15720" tabRatio="945" xr2:uid="{00000000-000D-0000-FFFF-FFFF00000000}"/>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6年2月作業分" sheetId="68" r:id="rId6"/>
    <sheet name="2026年3月作業分" sheetId="78" r:id="rId7"/>
    <sheet name="2026年4月作業分" sheetId="79" r:id="rId8"/>
    <sheet name="2026年5月作業分" sheetId="80" r:id="rId9"/>
    <sheet name="2026年6月作業分" sheetId="81" state="hidden" r:id="rId10"/>
    <sheet name="2026年7月作業分" sheetId="82" state="hidden" r:id="rId11"/>
    <sheet name="2026年8月作業分" sheetId="83" state="hidden" r:id="rId12"/>
    <sheet name="2026年9月作業分" sheetId="84" state="hidden" r:id="rId13"/>
    <sheet name="2026年10月作業分" sheetId="85" state="hidden" r:id="rId14"/>
    <sheet name="2026年11月作業分" sheetId="128" state="hidden" r:id="rId15"/>
  </sheets>
  <definedNames>
    <definedName name="_xlnm.Print_Area" localSheetId="13">'2026年10月作業分'!$A$1:$N$43</definedName>
    <definedName name="_xlnm.Print_Area" localSheetId="14">'2026年11月作業分'!$A$1:$N$43</definedName>
    <definedName name="_xlnm.Print_Area" localSheetId="5">'2026年2月作業分'!$A$1:$N$43</definedName>
    <definedName name="_xlnm.Print_Area" localSheetId="6">'2026年3月作業分'!$A$1:$N$43</definedName>
    <definedName name="_xlnm.Print_Area" localSheetId="7">'2026年4月作業分'!$A$1:$N$43</definedName>
    <definedName name="_xlnm.Print_Area" localSheetId="8">'2026年5月作業分'!$A$1:$N$43</definedName>
    <definedName name="_xlnm.Print_Area" localSheetId="9">'2026年6月作業分'!$A$1:$N$43</definedName>
    <definedName name="_xlnm.Print_Area" localSheetId="10">'2026年7月作業分'!$A$1:$N$43</definedName>
    <definedName name="_xlnm.Print_Area" localSheetId="11">'2026年8月作業分'!$A$1:$N$43</definedName>
    <definedName name="_xlnm.Print_Area" localSheetId="12">'2026年9月作業分'!$A$1:$N$43</definedName>
    <definedName name="_xlnm.Print_Area" localSheetId="1">体系図!$A$1:$D$43</definedName>
    <definedName name="_xlnm.Print_Area" localSheetId="4">'提出用 従事者別直接人件費集計表（前期）'!$A$1:$L$19</definedName>
    <definedName name="_xlnm.Print_Area" localSheetId="3">'入力用 従事者別直接人件費集計表（前期）'!$A$1:$L$19</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32" i="77" l="1"/>
  <c r="W42" i="77"/>
  <c r="G13" i="127" l="1"/>
  <c r="D16" i="12"/>
  <c r="D16" i="127" s="1"/>
  <c r="AJ7" i="128"/>
  <c r="J8" i="12"/>
  <c r="J16" i="127"/>
  <c r="G16" i="127"/>
  <c r="J17" i="12"/>
  <c r="J16" i="12"/>
  <c r="Z35" i="128"/>
  <c r="X35" i="128"/>
  <c r="W35" i="128"/>
  <c r="P35" i="128" s="1"/>
  <c r="V35" i="128"/>
  <c r="U35" i="128"/>
  <c r="T35" i="128"/>
  <c r="I35" i="128" s="1"/>
  <c r="S35" i="128"/>
  <c r="R35" i="128"/>
  <c r="Q35" i="128"/>
  <c r="O35" i="128"/>
  <c r="X34" i="128"/>
  <c r="W34" i="128"/>
  <c r="P34" i="128" s="1"/>
  <c r="Q34" i="128" s="1"/>
  <c r="V34" i="128"/>
  <c r="U34" i="128"/>
  <c r="T34" i="128"/>
  <c r="S34" i="128"/>
  <c r="R34" i="128"/>
  <c r="O34" i="128"/>
  <c r="I34" i="128"/>
  <c r="G34" i="128"/>
  <c r="E34" i="128"/>
  <c r="Z33" i="128"/>
  <c r="X33" i="128"/>
  <c r="W33" i="128"/>
  <c r="V33" i="128"/>
  <c r="U33" i="128"/>
  <c r="T33" i="128"/>
  <c r="I33" i="128" s="1"/>
  <c r="S33" i="128"/>
  <c r="R33" i="128"/>
  <c r="P33" i="128"/>
  <c r="Q33" i="128" s="1"/>
  <c r="O33" i="128"/>
  <c r="AF32" i="128"/>
  <c r="AE32" i="128"/>
  <c r="Z32" i="128"/>
  <c r="X32" i="128"/>
  <c r="W32" i="128"/>
  <c r="P32" i="128" s="1"/>
  <c r="Q32" i="128" s="1"/>
  <c r="E32" i="128" s="1"/>
  <c r="V32" i="128"/>
  <c r="U32" i="128"/>
  <c r="T32" i="128"/>
  <c r="S32" i="128"/>
  <c r="R32" i="128"/>
  <c r="O32" i="128"/>
  <c r="I32" i="128"/>
  <c r="AF31" i="128"/>
  <c r="AE31" i="128"/>
  <c r="Z31" i="128"/>
  <c r="X31" i="128"/>
  <c r="W31" i="128"/>
  <c r="V31" i="128"/>
  <c r="U31" i="128"/>
  <c r="T31" i="128"/>
  <c r="I31" i="128" s="1"/>
  <c r="S31" i="128"/>
  <c r="R31" i="128"/>
  <c r="P31" i="128"/>
  <c r="Q31" i="128" s="1"/>
  <c r="O31" i="128"/>
  <c r="AF30" i="128"/>
  <c r="AE30" i="128"/>
  <c r="Z30" i="128"/>
  <c r="X30" i="128"/>
  <c r="W30" i="128"/>
  <c r="V30" i="128"/>
  <c r="U30" i="128"/>
  <c r="T30" i="128"/>
  <c r="S30" i="128"/>
  <c r="R30" i="128"/>
  <c r="P30" i="128"/>
  <c r="Q30" i="128" s="1"/>
  <c r="O30" i="128"/>
  <c r="I30" i="128"/>
  <c r="G30" i="128"/>
  <c r="E30" i="128"/>
  <c r="AF29" i="128"/>
  <c r="AE29" i="128"/>
  <c r="Z29" i="128"/>
  <c r="X29" i="128"/>
  <c r="W29" i="128"/>
  <c r="P29" i="128" s="1"/>
  <c r="Q29" i="128" s="1"/>
  <c r="G29" i="128" s="1"/>
  <c r="V29" i="128"/>
  <c r="U29" i="128"/>
  <c r="T29" i="128"/>
  <c r="I29" i="128" s="1"/>
  <c r="S29" i="128"/>
  <c r="R29" i="128"/>
  <c r="O29" i="128"/>
  <c r="E29" i="128"/>
  <c r="AE28" i="128"/>
  <c r="Z28" i="128"/>
  <c r="X28" i="128"/>
  <c r="W28" i="128"/>
  <c r="V28" i="128"/>
  <c r="U28" i="128"/>
  <c r="T28" i="128"/>
  <c r="S28" i="128"/>
  <c r="R28" i="128"/>
  <c r="P28" i="128"/>
  <c r="Q28" i="128" s="1"/>
  <c r="O28" i="128"/>
  <c r="I28" i="128"/>
  <c r="AF27" i="128"/>
  <c r="AE27" i="128"/>
  <c r="Z27" i="128"/>
  <c r="X27" i="128"/>
  <c r="W27" i="128"/>
  <c r="P27" i="128" s="1"/>
  <c r="Q27" i="128" s="1"/>
  <c r="G27" i="128" s="1"/>
  <c r="V27" i="128"/>
  <c r="U27" i="128"/>
  <c r="T27" i="128"/>
  <c r="S27" i="128"/>
  <c r="R27" i="128"/>
  <c r="O27" i="128"/>
  <c r="I27" i="128"/>
  <c r="AF26" i="128"/>
  <c r="AE26" i="128"/>
  <c r="Z26" i="128"/>
  <c r="X26" i="128"/>
  <c r="W26" i="128"/>
  <c r="V26" i="128"/>
  <c r="U26" i="128"/>
  <c r="T26" i="128"/>
  <c r="I26" i="128" s="1"/>
  <c r="S26" i="128"/>
  <c r="R26" i="128"/>
  <c r="P26" i="128"/>
  <c r="Q26" i="128" s="1"/>
  <c r="O26" i="128"/>
  <c r="AF25" i="128"/>
  <c r="AE25" i="128"/>
  <c r="Z25" i="128"/>
  <c r="X25" i="128"/>
  <c r="W25" i="128"/>
  <c r="P25" i="128" s="1"/>
  <c r="Q25" i="128" s="1"/>
  <c r="G25" i="128" s="1"/>
  <c r="V25" i="128"/>
  <c r="U25" i="128"/>
  <c r="T25" i="128"/>
  <c r="S25" i="128"/>
  <c r="R25" i="128"/>
  <c r="O25" i="128"/>
  <c r="I25" i="128"/>
  <c r="AF24" i="128"/>
  <c r="AE24" i="128"/>
  <c r="Z24" i="128"/>
  <c r="X24" i="128"/>
  <c r="W24" i="128"/>
  <c r="P24" i="128" s="1"/>
  <c r="Q24" i="128" s="1"/>
  <c r="V24" i="128"/>
  <c r="U24" i="128"/>
  <c r="T24" i="128"/>
  <c r="I24" i="128" s="1"/>
  <c r="S24" i="128"/>
  <c r="R24" i="128"/>
  <c r="O24" i="128"/>
  <c r="AF23" i="128"/>
  <c r="AE23" i="128"/>
  <c r="Z23" i="128"/>
  <c r="X23" i="128"/>
  <c r="W23" i="128"/>
  <c r="V23" i="128"/>
  <c r="U23" i="128"/>
  <c r="T23" i="128"/>
  <c r="S23" i="128"/>
  <c r="R23" i="128"/>
  <c r="P23" i="128"/>
  <c r="Q23" i="128" s="1"/>
  <c r="O23" i="128"/>
  <c r="I23" i="128"/>
  <c r="AF22" i="128"/>
  <c r="AE22" i="128"/>
  <c r="Z22" i="128"/>
  <c r="X22" i="128"/>
  <c r="W22" i="128"/>
  <c r="P22" i="128" s="1"/>
  <c r="Q22" i="128" s="1"/>
  <c r="V22" i="128"/>
  <c r="U22" i="128"/>
  <c r="T22" i="128"/>
  <c r="I22" i="128" s="1"/>
  <c r="S22" i="128"/>
  <c r="R22" i="128"/>
  <c r="O22" i="128"/>
  <c r="G22" i="128"/>
  <c r="E22" i="128"/>
  <c r="AF21" i="128"/>
  <c r="AE21" i="128"/>
  <c r="Z21" i="128"/>
  <c r="X21" i="128"/>
  <c r="W21" i="128"/>
  <c r="V21" i="128"/>
  <c r="U21" i="128"/>
  <c r="T21" i="128"/>
  <c r="I21" i="128" s="1"/>
  <c r="S21" i="128"/>
  <c r="R21" i="128"/>
  <c r="P21" i="128"/>
  <c r="Q21" i="128" s="1"/>
  <c r="O21" i="128"/>
  <c r="AF20" i="128"/>
  <c r="AE20" i="128"/>
  <c r="Z20" i="128"/>
  <c r="X20" i="128"/>
  <c r="W20" i="128"/>
  <c r="P20" i="128" s="1"/>
  <c r="Q20" i="128" s="1"/>
  <c r="G20" i="128" s="1"/>
  <c r="V20" i="128"/>
  <c r="U20" i="128"/>
  <c r="T20" i="128"/>
  <c r="I20" i="128" s="1"/>
  <c r="S20" i="128"/>
  <c r="R20" i="128"/>
  <c r="O20" i="128"/>
  <c r="AF19" i="128"/>
  <c r="AE19" i="128"/>
  <c r="Z19" i="128"/>
  <c r="X19" i="128"/>
  <c r="W19" i="128"/>
  <c r="V19" i="128"/>
  <c r="U19" i="128"/>
  <c r="T19" i="128"/>
  <c r="I19" i="128" s="1"/>
  <c r="S19" i="128"/>
  <c r="R19" i="128"/>
  <c r="Q19" i="128"/>
  <c r="P19" i="128"/>
  <c r="O19" i="128"/>
  <c r="AF18" i="128"/>
  <c r="AE18" i="128"/>
  <c r="Z18" i="128"/>
  <c r="X18" i="128"/>
  <c r="W18" i="128"/>
  <c r="V18" i="128"/>
  <c r="U18" i="128"/>
  <c r="T18" i="128"/>
  <c r="S18" i="128"/>
  <c r="R18" i="128"/>
  <c r="P18" i="128"/>
  <c r="Q18" i="128" s="1"/>
  <c r="O18" i="128"/>
  <c r="I18" i="128"/>
  <c r="AF17" i="128"/>
  <c r="AE17" i="128"/>
  <c r="Z17" i="128"/>
  <c r="X17" i="128"/>
  <c r="W17" i="128"/>
  <c r="P17" i="128" s="1"/>
  <c r="Q17" i="128" s="1"/>
  <c r="V17" i="128"/>
  <c r="U17" i="128"/>
  <c r="T17" i="128"/>
  <c r="I17" i="128" s="1"/>
  <c r="S17" i="128"/>
  <c r="R17" i="128"/>
  <c r="O17" i="128"/>
  <c r="AF16" i="128"/>
  <c r="AE16" i="128"/>
  <c r="Z16" i="128"/>
  <c r="X16" i="128"/>
  <c r="W16" i="128"/>
  <c r="V16" i="128"/>
  <c r="U16" i="128"/>
  <c r="T16" i="128"/>
  <c r="S16" i="128"/>
  <c r="R16" i="128"/>
  <c r="P16" i="128"/>
  <c r="Q16" i="128" s="1"/>
  <c r="O16" i="128"/>
  <c r="I16" i="128"/>
  <c r="AF15" i="128"/>
  <c r="AE15" i="128"/>
  <c r="Z15" i="128"/>
  <c r="X15" i="128"/>
  <c r="W15" i="128"/>
  <c r="P15" i="128" s="1"/>
  <c r="Q15" i="128" s="1"/>
  <c r="G15" i="128" s="1"/>
  <c r="V15" i="128"/>
  <c r="U15" i="128"/>
  <c r="T15" i="128"/>
  <c r="I15" i="128" s="1"/>
  <c r="S15" i="128"/>
  <c r="R15" i="128"/>
  <c r="O15" i="128"/>
  <c r="AF14" i="128"/>
  <c r="AE14" i="128"/>
  <c r="Z14" i="128"/>
  <c r="X14" i="128"/>
  <c r="W14" i="128"/>
  <c r="V14" i="128"/>
  <c r="U14" i="128"/>
  <c r="T14" i="128"/>
  <c r="I14" i="128" s="1"/>
  <c r="S14" i="128"/>
  <c r="R14" i="128"/>
  <c r="P14" i="128"/>
  <c r="Q14" i="128" s="1"/>
  <c r="O14" i="128"/>
  <c r="AF13" i="128"/>
  <c r="AE13" i="128"/>
  <c r="Z13" i="128"/>
  <c r="X13" i="128"/>
  <c r="W13" i="128"/>
  <c r="V13" i="128"/>
  <c r="U13" i="128"/>
  <c r="T13" i="128"/>
  <c r="S13" i="128"/>
  <c r="R13" i="128"/>
  <c r="P13" i="128"/>
  <c r="Q13" i="128" s="1"/>
  <c r="E13" i="128" s="1"/>
  <c r="O13" i="128"/>
  <c r="I13" i="128"/>
  <c r="G13" i="128"/>
  <c r="AF12" i="128"/>
  <c r="AE12" i="128"/>
  <c r="W12" i="128"/>
  <c r="V12" i="128"/>
  <c r="U12" i="128"/>
  <c r="T12" i="128"/>
  <c r="I12" i="128" s="1"/>
  <c r="S12" i="128"/>
  <c r="R12" i="128"/>
  <c r="P12" i="128"/>
  <c r="Q12" i="128" s="1"/>
  <c r="O12" i="128"/>
  <c r="AF11" i="128"/>
  <c r="AE11" i="128"/>
  <c r="W11" i="128"/>
  <c r="P11" i="128" s="1"/>
  <c r="Q11" i="128" s="1"/>
  <c r="G11" i="128" s="1"/>
  <c r="V11" i="128"/>
  <c r="U11" i="128"/>
  <c r="T11" i="128"/>
  <c r="I11" i="128" s="1"/>
  <c r="S11" i="128"/>
  <c r="R11" i="128"/>
  <c r="O11" i="128"/>
  <c r="W10" i="128"/>
  <c r="P10" i="128" s="1"/>
  <c r="Q10" i="128" s="1"/>
  <c r="V10" i="128"/>
  <c r="U10" i="128"/>
  <c r="T10" i="128"/>
  <c r="S10" i="128"/>
  <c r="R10" i="128"/>
  <c r="O10" i="128"/>
  <c r="I10" i="128"/>
  <c r="W9" i="128"/>
  <c r="V9" i="128"/>
  <c r="U9" i="128"/>
  <c r="T9" i="128"/>
  <c r="I9" i="128" s="1"/>
  <c r="S9" i="128"/>
  <c r="R9" i="128"/>
  <c r="P9" i="128"/>
  <c r="Q9" i="128" s="1"/>
  <c r="O9" i="128"/>
  <c r="AJ8" i="128"/>
  <c r="AJ6" i="128"/>
  <c r="AN5" i="128"/>
  <c r="AJ5" i="128"/>
  <c r="AN4" i="128"/>
  <c r="AG4" i="128"/>
  <c r="AF4" i="128"/>
  <c r="B4" i="128"/>
  <c r="AG3" i="128"/>
  <c r="AF3" i="128"/>
  <c r="B3" i="128"/>
  <c r="AG2" i="128"/>
  <c r="AF2" i="128"/>
  <c r="AN1" i="128"/>
  <c r="AG1" i="128"/>
  <c r="AF1" i="128"/>
  <c r="I16" i="12"/>
  <c r="I16" i="127" s="1"/>
  <c r="P43" i="77"/>
  <c r="K16" i="12" l="1"/>
  <c r="L16" i="12" s="1"/>
  <c r="L16" i="127" s="1"/>
  <c r="AJ2" i="85"/>
  <c r="AJ8" i="84"/>
  <c r="D1" i="128"/>
  <c r="D17" i="12"/>
  <c r="E16" i="128"/>
  <c r="G16" i="128"/>
  <c r="G9" i="128"/>
  <c r="E9" i="128"/>
  <c r="G12" i="128"/>
  <c r="E12" i="128"/>
  <c r="G14" i="128"/>
  <c r="E14" i="128"/>
  <c r="G18" i="128"/>
  <c r="E18" i="128"/>
  <c r="G21" i="128"/>
  <c r="E21" i="128"/>
  <c r="G10" i="128"/>
  <c r="E10" i="128"/>
  <c r="G26" i="128"/>
  <c r="E26" i="128"/>
  <c r="E23" i="128"/>
  <c r="G23" i="128"/>
  <c r="G28" i="128"/>
  <c r="E28" i="128"/>
  <c r="G17" i="128"/>
  <c r="E17" i="128"/>
  <c r="G31" i="128"/>
  <c r="E31" i="128"/>
  <c r="G33" i="128"/>
  <c r="E33" i="128"/>
  <c r="G24" i="128"/>
  <c r="E24" i="128"/>
  <c r="G35" i="128"/>
  <c r="E35" i="128"/>
  <c r="E27" i="128"/>
  <c r="G19" i="128"/>
  <c r="E19" i="128"/>
  <c r="E20" i="128"/>
  <c r="E15" i="128"/>
  <c r="E11" i="128"/>
  <c r="G32" i="128"/>
  <c r="E25" i="128"/>
  <c r="K16" i="127" l="1"/>
  <c r="AJ2" i="128"/>
  <c r="AJ8" i="85"/>
  <c r="E36" i="128"/>
  <c r="W8" i="12" l="1"/>
  <c r="W16" i="12"/>
  <c r="W15" i="12"/>
  <c r="W14" i="12"/>
  <c r="W13" i="12"/>
  <c r="W12" i="12"/>
  <c r="W11" i="12"/>
  <c r="W10" i="12"/>
  <c r="W9" i="12"/>
  <c r="G17" i="127"/>
  <c r="G15" i="127"/>
  <c r="G14" i="127"/>
  <c r="G12" i="127"/>
  <c r="G11" i="127"/>
  <c r="G10" i="127"/>
  <c r="G9" i="127"/>
  <c r="G8" i="127"/>
  <c r="F10" i="127"/>
  <c r="F11" i="127" s="1"/>
  <c r="F12" i="127" s="1"/>
  <c r="F13" i="127" s="1"/>
  <c r="F14" i="127" s="1"/>
  <c r="AF32" i="85"/>
  <c r="AF11" i="85"/>
  <c r="AF32" i="84"/>
  <c r="AF11" i="84"/>
  <c r="AF32" i="83"/>
  <c r="AF11" i="83"/>
  <c r="AF32" i="82"/>
  <c r="AF11" i="82"/>
  <c r="AF32" i="81"/>
  <c r="AF11" i="81"/>
  <c r="AF32" i="80"/>
  <c r="AF11" i="80"/>
  <c r="AF32" i="79"/>
  <c r="AF11" i="79"/>
  <c r="AF32" i="78"/>
  <c r="AF11" i="78"/>
  <c r="AF32" i="68"/>
  <c r="AF11" i="68"/>
  <c r="F15" i="127" l="1"/>
  <c r="F17" i="127" s="1"/>
  <c r="F16" i="127"/>
  <c r="H16" i="12"/>
  <c r="H17" i="12"/>
  <c r="Y16" i="12" s="1"/>
  <c r="H15" i="12"/>
  <c r="Y15" i="12" s="1"/>
  <c r="H14" i="12"/>
  <c r="Y14" i="12" s="1"/>
  <c r="H13" i="12"/>
  <c r="Y13" i="12" s="1"/>
  <c r="H12" i="12"/>
  <c r="Y12" i="12" s="1"/>
  <c r="H11" i="12"/>
  <c r="Y11" i="12" s="1"/>
  <c r="H10" i="12"/>
  <c r="Y10" i="12" s="1"/>
  <c r="H9" i="12"/>
  <c r="Y9" i="12" s="1"/>
  <c r="H8" i="12"/>
  <c r="I8" i="12" s="1"/>
  <c r="V25" i="77"/>
  <c r="V24" i="77"/>
  <c r="V23" i="77"/>
  <c r="V22" i="77"/>
  <c r="AF28" i="128" s="1"/>
  <c r="V21" i="77"/>
  <c r="V20" i="77"/>
  <c r="V19" i="77"/>
  <c r="V18" i="77"/>
  <c r="V17" i="77"/>
  <c r="V16" i="77"/>
  <c r="V15" i="77"/>
  <c r="V14" i="77"/>
  <c r="V13" i="77"/>
  <c r="V12" i="77"/>
  <c r="V11" i="77"/>
  <c r="V10" i="77"/>
  <c r="V9" i="77"/>
  <c r="V8" i="77"/>
  <c r="V7" i="77"/>
  <c r="V6" i="77"/>
  <c r="R40" i="77"/>
  <c r="P40" i="77"/>
  <c r="N40" i="77"/>
  <c r="U31" i="77"/>
  <c r="Y8" i="12" l="1"/>
  <c r="B5" i="128" s="1"/>
  <c r="K22" i="128" s="1"/>
  <c r="K13" i="128"/>
  <c r="K29" i="128"/>
  <c r="K30" i="128"/>
  <c r="K34" i="128"/>
  <c r="K25" i="128"/>
  <c r="K27" i="128"/>
  <c r="K16" i="128"/>
  <c r="K33" i="128"/>
  <c r="K35" i="128"/>
  <c r="K10" i="128"/>
  <c r="K12" i="128"/>
  <c r="K24" i="128"/>
  <c r="K11" i="128"/>
  <c r="K26" i="128"/>
  <c r="K15" i="128"/>
  <c r="K20" i="128"/>
  <c r="K17" i="128"/>
  <c r="K23" i="128"/>
  <c r="K18" i="128"/>
  <c r="K19" i="128"/>
  <c r="K9" i="128"/>
  <c r="K28" i="128"/>
  <c r="K14" i="128"/>
  <c r="K21" i="128"/>
  <c r="P42" i="77"/>
  <c r="B5" i="85"/>
  <c r="B5" i="68"/>
  <c r="B5" i="84"/>
  <c r="B5" i="83"/>
  <c r="B5" i="82"/>
  <c r="B5" i="81"/>
  <c r="B5" i="78"/>
  <c r="B5" i="80"/>
  <c r="B5" i="79"/>
  <c r="AF29" i="84"/>
  <c r="AF29" i="85"/>
  <c r="AF29" i="79"/>
  <c r="AF29" i="80"/>
  <c r="AF29" i="81"/>
  <c r="AF29" i="82"/>
  <c r="AF29" i="78"/>
  <c r="AF29" i="83"/>
  <c r="AF29" i="68"/>
  <c r="AF31" i="80"/>
  <c r="AF31" i="81"/>
  <c r="AF31" i="82"/>
  <c r="AF31" i="79"/>
  <c r="AF31" i="83"/>
  <c r="AF31" i="68"/>
  <c r="AF31" i="85"/>
  <c r="AF31" i="84"/>
  <c r="AF31" i="78"/>
  <c r="AF20" i="80"/>
  <c r="AF20" i="85"/>
  <c r="AF20" i="81"/>
  <c r="AF20" i="79"/>
  <c r="AF20" i="82"/>
  <c r="AF20" i="83"/>
  <c r="AF20" i="68"/>
  <c r="AF20" i="84"/>
  <c r="AF20" i="78"/>
  <c r="AF17" i="85"/>
  <c r="AF17" i="79"/>
  <c r="AF17" i="80"/>
  <c r="AF17" i="81"/>
  <c r="AF17" i="84"/>
  <c r="AF17" i="82"/>
  <c r="AF17" i="83"/>
  <c r="AF17" i="68"/>
  <c r="AF17" i="78"/>
  <c r="AF19" i="79"/>
  <c r="AF19" i="80"/>
  <c r="AF19" i="81"/>
  <c r="AF19" i="82"/>
  <c r="AF19" i="85"/>
  <c r="AF19" i="83"/>
  <c r="AF19" i="68"/>
  <c r="AF19" i="84"/>
  <c r="AF19" i="78"/>
  <c r="AF21" i="81"/>
  <c r="AF21" i="82"/>
  <c r="AF21" i="83"/>
  <c r="AF21" i="68"/>
  <c r="AF21" i="80"/>
  <c r="AF21" i="84"/>
  <c r="AF21" i="78"/>
  <c r="AF21" i="85"/>
  <c r="AF21" i="79"/>
  <c r="AF22" i="81"/>
  <c r="AF22" i="82"/>
  <c r="AF22" i="83"/>
  <c r="AF22" i="68"/>
  <c r="AF22" i="80"/>
  <c r="AF22" i="84"/>
  <c r="AF22" i="78"/>
  <c r="AF22" i="85"/>
  <c r="AF22" i="79"/>
  <c r="AF30" i="85"/>
  <c r="AF30" i="79"/>
  <c r="AF30" i="80"/>
  <c r="AF30" i="78"/>
  <c r="AF30" i="81"/>
  <c r="AF30" i="84"/>
  <c r="AF30" i="82"/>
  <c r="AF30" i="83"/>
  <c r="AF30" i="68"/>
  <c r="AF23" i="82"/>
  <c r="AF23" i="83"/>
  <c r="AF23" i="68"/>
  <c r="AF23" i="81"/>
  <c r="AF23" i="84"/>
  <c r="AF23" i="78"/>
  <c r="AF23" i="85"/>
  <c r="AF23" i="79"/>
  <c r="AF23" i="80"/>
  <c r="AF12" i="82"/>
  <c r="AF12" i="81"/>
  <c r="AF12" i="83"/>
  <c r="AF12" i="68"/>
  <c r="AF12" i="84"/>
  <c r="AF12" i="78"/>
  <c r="AF12" i="85"/>
  <c r="AF12" i="79"/>
  <c r="AF12" i="80"/>
  <c r="AF24" i="82"/>
  <c r="AF24" i="83"/>
  <c r="AF24" i="68"/>
  <c r="AF24" i="84"/>
  <c r="AF24" i="78"/>
  <c r="AF24" i="85"/>
  <c r="AF24" i="79"/>
  <c r="AF24" i="80"/>
  <c r="AF24" i="81"/>
  <c r="AF25" i="83"/>
  <c r="AF25" i="68"/>
  <c r="AF25" i="84"/>
  <c r="AF25" i="78"/>
  <c r="AF25" i="82"/>
  <c r="AF25" i="85"/>
  <c r="AF25" i="79"/>
  <c r="AF25" i="80"/>
  <c r="AF25" i="81"/>
  <c r="AF18" i="85"/>
  <c r="AF18" i="79"/>
  <c r="AF18" i="80"/>
  <c r="AF18" i="84"/>
  <c r="AF18" i="81"/>
  <c r="AF18" i="82"/>
  <c r="AF18" i="78"/>
  <c r="AF18" i="83"/>
  <c r="AF18" i="68"/>
  <c r="AF14" i="83"/>
  <c r="AF14" i="68"/>
  <c r="AF14" i="84"/>
  <c r="AF14" i="78"/>
  <c r="AF14" i="82"/>
  <c r="AF14" i="85"/>
  <c r="AF14" i="79"/>
  <c r="AF14" i="80"/>
  <c r="AF14" i="81"/>
  <c r="AF26" i="83"/>
  <c r="AF26" i="68"/>
  <c r="AF26" i="82"/>
  <c r="AF26" i="84"/>
  <c r="AF26" i="78"/>
  <c r="AF26" i="85"/>
  <c r="AF26" i="79"/>
  <c r="AF26" i="80"/>
  <c r="AF26" i="81"/>
  <c r="AF27" i="84"/>
  <c r="AF27" i="78"/>
  <c r="AF27" i="85"/>
  <c r="AF27" i="79"/>
  <c r="AF27" i="68"/>
  <c r="AF27" i="80"/>
  <c r="AF27" i="81"/>
  <c r="AF27" i="82"/>
  <c r="AF27" i="83"/>
  <c r="AF13" i="83"/>
  <c r="AF13" i="68"/>
  <c r="AF13" i="82"/>
  <c r="AF13" i="84"/>
  <c r="AF13" i="78"/>
  <c r="AF13" i="85"/>
  <c r="AF13" i="79"/>
  <c r="AF13" i="80"/>
  <c r="AF13" i="81"/>
  <c r="AF15" i="84"/>
  <c r="AF15" i="78"/>
  <c r="AF15" i="85"/>
  <c r="AF15" i="79"/>
  <c r="AF15" i="80"/>
  <c r="AF15" i="81"/>
  <c r="AF15" i="83"/>
  <c r="AF15" i="68"/>
  <c r="AF15" i="82"/>
  <c r="AF16" i="84"/>
  <c r="AF16" i="78"/>
  <c r="AF16" i="85"/>
  <c r="AF16" i="79"/>
  <c r="AF16" i="80"/>
  <c r="AF16" i="81"/>
  <c r="AF16" i="83"/>
  <c r="AF16" i="68"/>
  <c r="AF16" i="82"/>
  <c r="AF28" i="84"/>
  <c r="AF28" i="78"/>
  <c r="AF28" i="85"/>
  <c r="AF28" i="79"/>
  <c r="AF28" i="80"/>
  <c r="AF28" i="83"/>
  <c r="AF28" i="68"/>
  <c r="AF28" i="81"/>
  <c r="AF28" i="82"/>
  <c r="U32" i="77"/>
  <c r="A1" i="110"/>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K31" i="128" l="1"/>
  <c r="K32" i="128"/>
  <c r="A4" i="127"/>
  <c r="A9" i="12"/>
  <c r="K36" i="128" l="1"/>
  <c r="A4" i="12"/>
  <c r="AE32" i="68"/>
  <c r="AE31" i="68"/>
  <c r="AE30" i="68"/>
  <c r="AE29" i="68"/>
  <c r="AE28" i="68"/>
  <c r="AE27" i="68"/>
  <c r="AE26" i="68"/>
  <c r="AE25" i="68"/>
  <c r="AE24" i="68"/>
  <c r="AE23" i="68"/>
  <c r="AE22" i="68"/>
  <c r="AE21" i="68"/>
  <c r="AE20" i="68"/>
  <c r="AE19" i="68"/>
  <c r="AE18" i="68"/>
  <c r="AE17" i="68"/>
  <c r="AE16" i="68"/>
  <c r="AE15" i="68"/>
  <c r="AE14" i="68"/>
  <c r="AE13" i="68"/>
  <c r="AE12" i="68"/>
  <c r="AE11" i="68"/>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V25" i="80"/>
  <c r="U25" i="80"/>
  <c r="W25" i="80" s="1"/>
  <c r="P25" i="80" s="1"/>
  <c r="Q25" i="80" s="1"/>
  <c r="T25" i="80"/>
  <c r="I25" i="80" s="1"/>
  <c r="S25" i="80"/>
  <c r="R25" i="80"/>
  <c r="O25" i="80"/>
  <c r="Z24" i="80"/>
  <c r="X24" i="80"/>
  <c r="V24" i="80"/>
  <c r="U24" i="80"/>
  <c r="T24" i="80"/>
  <c r="I24" i="80" s="1"/>
  <c r="S24" i="80"/>
  <c r="R24" i="80"/>
  <c r="W24" i="80" s="1"/>
  <c r="P24" i="80" s="1"/>
  <c r="Q24" i="80" s="1"/>
  <c r="O24" i="80"/>
  <c r="Z23" i="80"/>
  <c r="X23" i="80"/>
  <c r="V23" i="80"/>
  <c r="U23" i="80"/>
  <c r="T23" i="80"/>
  <c r="I23" i="80" s="1"/>
  <c r="S23" i="80"/>
  <c r="R23" i="80"/>
  <c r="W23" i="80" s="1"/>
  <c r="P23" i="80" s="1"/>
  <c r="Q23" i="80" s="1"/>
  <c r="O23" i="80"/>
  <c r="Z22" i="80"/>
  <c r="X22" i="80"/>
  <c r="V22" i="80"/>
  <c r="U22" i="80"/>
  <c r="T22" i="80"/>
  <c r="I22" i="80" s="1"/>
  <c r="S22" i="80"/>
  <c r="R22" i="80"/>
  <c r="W22" i="80" s="1"/>
  <c r="P22" i="80" s="1"/>
  <c r="Q22" i="80" s="1"/>
  <c r="G22" i="80" s="1"/>
  <c r="O22" i="80"/>
  <c r="Z21" i="80"/>
  <c r="X21" i="80"/>
  <c r="V21" i="80"/>
  <c r="U21" i="80"/>
  <c r="W21" i="80" s="1"/>
  <c r="P21" i="80" s="1"/>
  <c r="Q21" i="80" s="1"/>
  <c r="T21" i="80"/>
  <c r="I21" i="80" s="1"/>
  <c r="S21" i="80"/>
  <c r="R21" i="80"/>
  <c r="O21" i="80"/>
  <c r="Z20" i="80"/>
  <c r="X20" i="80"/>
  <c r="V20" i="80"/>
  <c r="U20" i="80"/>
  <c r="T20" i="80"/>
  <c r="I20" i="80" s="1"/>
  <c r="S20" i="80"/>
  <c r="R20" i="80"/>
  <c r="W20" i="80" s="1"/>
  <c r="P20" i="80" s="1"/>
  <c r="Q20" i="80" s="1"/>
  <c r="O20" i="80"/>
  <c r="Z19" i="80"/>
  <c r="X19" i="80"/>
  <c r="V19" i="80"/>
  <c r="U19" i="80"/>
  <c r="T19" i="80"/>
  <c r="I19" i="80" s="1"/>
  <c r="S19" i="80"/>
  <c r="R19" i="80"/>
  <c r="W19" i="80" s="1"/>
  <c r="P19" i="80" s="1"/>
  <c r="Q19" i="80" s="1"/>
  <c r="O19" i="80"/>
  <c r="Z18" i="80"/>
  <c r="X18" i="80"/>
  <c r="V18" i="80"/>
  <c r="U18" i="80"/>
  <c r="T18" i="80"/>
  <c r="I18" i="80" s="1"/>
  <c r="S18" i="80"/>
  <c r="R18" i="80"/>
  <c r="W18" i="80" s="1"/>
  <c r="P18" i="80" s="1"/>
  <c r="Q18" i="80" s="1"/>
  <c r="G18" i="80" s="1"/>
  <c r="O18" i="80"/>
  <c r="Z17" i="80"/>
  <c r="X17" i="80"/>
  <c r="V17" i="80"/>
  <c r="U17" i="80"/>
  <c r="W17" i="80" s="1"/>
  <c r="P17" i="80" s="1"/>
  <c r="Q17" i="80" s="1"/>
  <c r="T17" i="80"/>
  <c r="I17" i="80" s="1"/>
  <c r="S17" i="80"/>
  <c r="R17" i="80"/>
  <c r="O17" i="80"/>
  <c r="Z16" i="80"/>
  <c r="X16" i="80"/>
  <c r="V16" i="80"/>
  <c r="U16" i="80"/>
  <c r="T16" i="80"/>
  <c r="I16" i="80" s="1"/>
  <c r="S16" i="80"/>
  <c r="R16" i="80"/>
  <c r="W16" i="80" s="1"/>
  <c r="P16" i="80" s="1"/>
  <c r="Q16" i="80" s="1"/>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V10" i="80"/>
  <c r="U10" i="80"/>
  <c r="T10" i="80"/>
  <c r="I10" i="80" s="1"/>
  <c r="S10" i="80"/>
  <c r="R10" i="80"/>
  <c r="W10" i="80" s="1"/>
  <c r="P10" i="80" s="1"/>
  <c r="Q10" i="80" s="1"/>
  <c r="G10" i="80" s="1"/>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E24" i="85"/>
  <c r="E36" i="84"/>
  <c r="E36" i="83"/>
  <c r="E36" i="82"/>
  <c r="E36" i="81"/>
  <c r="E36" i="85" l="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V26" i="78"/>
  <c r="U26" i="78"/>
  <c r="T26" i="78"/>
  <c r="I26" i="78" s="1"/>
  <c r="S26" i="78"/>
  <c r="R26" i="78"/>
  <c r="W26" i="78" s="1"/>
  <c r="P26" i="78" s="1"/>
  <c r="Q26" i="78" s="1"/>
  <c r="O26" i="78"/>
  <c r="Z25" i="78"/>
  <c r="X25" i="78"/>
  <c r="V25" i="78"/>
  <c r="U25" i="78"/>
  <c r="T25" i="78"/>
  <c r="I25" i="78" s="1"/>
  <c r="S25" i="78"/>
  <c r="R25" i="78"/>
  <c r="W25" i="78" s="1"/>
  <c r="P25" i="78" s="1"/>
  <c r="Q25" i="78" s="1"/>
  <c r="G25" i="78" s="1"/>
  <c r="O25" i="78"/>
  <c r="Z24" i="78"/>
  <c r="X24" i="78"/>
  <c r="W24" i="78"/>
  <c r="P24" i="78" s="1"/>
  <c r="Q24" i="78" s="1"/>
  <c r="V24" i="78"/>
  <c r="U24" i="78"/>
  <c r="T24" i="78"/>
  <c r="I24" i="78" s="1"/>
  <c r="S24" i="78"/>
  <c r="R24" i="78"/>
  <c r="O24" i="78"/>
  <c r="Z23" i="78"/>
  <c r="X23" i="78"/>
  <c r="V23" i="78"/>
  <c r="U23" i="78"/>
  <c r="T23" i="78"/>
  <c r="I23" i="78" s="1"/>
  <c r="S23" i="78"/>
  <c r="R23" i="78"/>
  <c r="O23" i="78"/>
  <c r="Z22" i="78"/>
  <c r="X22" i="78"/>
  <c r="V22" i="78"/>
  <c r="U22" i="78"/>
  <c r="T22" i="78"/>
  <c r="I22" i="78" s="1"/>
  <c r="S22" i="78"/>
  <c r="R22" i="78"/>
  <c r="W22" i="78" s="1"/>
  <c r="P22" i="78" s="1"/>
  <c r="Q22" i="78" s="1"/>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V15" i="78"/>
  <c r="U15" i="78"/>
  <c r="T15" i="78"/>
  <c r="I15" i="78" s="1"/>
  <c r="S15" i="78"/>
  <c r="R15" i="78"/>
  <c r="O15" i="78"/>
  <c r="Z14" i="78"/>
  <c r="X14" i="78"/>
  <c r="V14" i="78"/>
  <c r="U14" i="78"/>
  <c r="T14" i="78"/>
  <c r="I14" i="78" s="1"/>
  <c r="S14" i="78"/>
  <c r="R14" i="78"/>
  <c r="W14" i="78" s="1"/>
  <c r="P14" i="78" s="1"/>
  <c r="Q14" i="78" s="1"/>
  <c r="O14" i="78"/>
  <c r="Z13" i="78"/>
  <c r="X13" i="78"/>
  <c r="V13" i="78"/>
  <c r="U13" i="78"/>
  <c r="T13" i="78"/>
  <c r="I13" i="78" s="1"/>
  <c r="S13" i="78"/>
  <c r="R13" i="78"/>
  <c r="W13" i="78" s="1"/>
  <c r="P13" i="78" s="1"/>
  <c r="Q13" i="78" s="1"/>
  <c r="G13" i="78" s="1"/>
  <c r="O13" i="78"/>
  <c r="V12" i="78"/>
  <c r="U12" i="78"/>
  <c r="W12" i="78" s="1"/>
  <c r="P12" i="78" s="1"/>
  <c r="Q12" i="78" s="1"/>
  <c r="T12" i="78"/>
  <c r="I12" i="78" s="1"/>
  <c r="S12" i="78"/>
  <c r="R12" i="78"/>
  <c r="O12" i="78"/>
  <c r="V11" i="78"/>
  <c r="U11" i="78"/>
  <c r="T11" i="78"/>
  <c r="I11" i="78" s="1"/>
  <c r="S11" i="78"/>
  <c r="R11" i="78"/>
  <c r="W11" i="78" s="1"/>
  <c r="P11" i="78" s="1"/>
  <c r="Q11" i="78" s="1"/>
  <c r="O11" i="78"/>
  <c r="V10" i="78"/>
  <c r="U10" i="78"/>
  <c r="T10" i="78"/>
  <c r="I10" i="78" s="1"/>
  <c r="S10" i="78"/>
  <c r="R10" i="78"/>
  <c r="O10" i="78"/>
  <c r="V9" i="78"/>
  <c r="U9" i="78"/>
  <c r="T9" i="78"/>
  <c r="I9" i="78" s="1"/>
  <c r="S9" i="78"/>
  <c r="R9" i="78"/>
  <c r="W9" i="78" s="1"/>
  <c r="P9" i="78" s="1"/>
  <c r="Q9" i="78" s="1"/>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W28" i="68"/>
  <c r="P28" i="68" s="1"/>
  <c r="Q28" i="68" s="1"/>
  <c r="G28" i="68" s="1"/>
  <c r="V28" i="68"/>
  <c r="U28" i="68"/>
  <c r="T28" i="68"/>
  <c r="I28" i="68" s="1"/>
  <c r="S28" i="68"/>
  <c r="R28" i="68"/>
  <c r="O28" i="68"/>
  <c r="Z27" i="68"/>
  <c r="X27" i="68"/>
  <c r="W27" i="68"/>
  <c r="P27" i="68" s="1"/>
  <c r="Q27" i="68" s="1"/>
  <c r="V27" i="68"/>
  <c r="U27" i="68"/>
  <c r="T27" i="68"/>
  <c r="I27" i="68" s="1"/>
  <c r="S27" i="68"/>
  <c r="R27" i="68"/>
  <c r="O27" i="68"/>
  <c r="Z26" i="68"/>
  <c r="X26" i="68"/>
  <c r="W26" i="68"/>
  <c r="P26" i="68" s="1"/>
  <c r="Q26" i="68" s="1"/>
  <c r="V26" i="68"/>
  <c r="U26" i="68"/>
  <c r="T26" i="68"/>
  <c r="I26" i="68" s="1"/>
  <c r="S26" i="68"/>
  <c r="R26" i="68"/>
  <c r="O26" i="68"/>
  <c r="Z25" i="68"/>
  <c r="X25" i="68"/>
  <c r="W25" i="68"/>
  <c r="P25" i="68" s="1"/>
  <c r="Q25" i="68" s="1"/>
  <c r="V25" i="68"/>
  <c r="U25" i="68"/>
  <c r="T25" i="68"/>
  <c r="I25" i="68" s="1"/>
  <c r="S25" i="68"/>
  <c r="R25" i="68"/>
  <c r="O25" i="68"/>
  <c r="Z24" i="68"/>
  <c r="X24" i="68"/>
  <c r="W24" i="68"/>
  <c r="P24" i="68" s="1"/>
  <c r="Q24" i="68" s="1"/>
  <c r="V24" i="68"/>
  <c r="U24" i="68"/>
  <c r="T24" i="68"/>
  <c r="I24" i="68" s="1"/>
  <c r="S24" i="68"/>
  <c r="R24" i="68"/>
  <c r="O24" i="68"/>
  <c r="Z23" i="68"/>
  <c r="X23" i="68"/>
  <c r="W23" i="68"/>
  <c r="P23" i="68" s="1"/>
  <c r="Q23" i="68" s="1"/>
  <c r="V23" i="68"/>
  <c r="U23" i="68"/>
  <c r="T23" i="68"/>
  <c r="I23" i="68" s="1"/>
  <c r="S23" i="68"/>
  <c r="R23" i="68"/>
  <c r="O23" i="68"/>
  <c r="Z22" i="68"/>
  <c r="X22" i="68"/>
  <c r="W22" i="68"/>
  <c r="P22" i="68" s="1"/>
  <c r="Q22" i="68" s="1"/>
  <c r="V22" i="68"/>
  <c r="U22" i="68"/>
  <c r="T22" i="68"/>
  <c r="I22" i="68" s="1"/>
  <c r="S22" i="68"/>
  <c r="R22" i="68"/>
  <c r="O22" i="68"/>
  <c r="Z21" i="68"/>
  <c r="X21" i="68"/>
  <c r="V21" i="68"/>
  <c r="U21" i="68"/>
  <c r="T21" i="68"/>
  <c r="I21" i="68" s="1"/>
  <c r="S21" i="68"/>
  <c r="R21" i="68"/>
  <c r="O21" i="68"/>
  <c r="Z20" i="68"/>
  <c r="X20" i="68"/>
  <c r="W20" i="68"/>
  <c r="P20" i="68" s="1"/>
  <c r="Q20" i="68" s="1"/>
  <c r="V20" i="68"/>
  <c r="U20" i="68"/>
  <c r="T20" i="68"/>
  <c r="I20" i="68" s="1"/>
  <c r="S20" i="68"/>
  <c r="R20" i="68"/>
  <c r="O20" i="68"/>
  <c r="Z19" i="68"/>
  <c r="X19" i="68"/>
  <c r="V19" i="68"/>
  <c r="U19" i="68"/>
  <c r="T19" i="68"/>
  <c r="I19" i="68" s="1"/>
  <c r="S19" i="68"/>
  <c r="R19" i="68"/>
  <c r="W19" i="68" s="1"/>
  <c r="P19" i="68" s="1"/>
  <c r="Q19" i="68" s="1"/>
  <c r="O19" i="68"/>
  <c r="Z18" i="68"/>
  <c r="X18" i="68"/>
  <c r="V18" i="68"/>
  <c r="W18" i="68" s="1"/>
  <c r="P18" i="68" s="1"/>
  <c r="Q18" i="68" s="1"/>
  <c r="U18" i="68"/>
  <c r="T18" i="68"/>
  <c r="I18" i="68" s="1"/>
  <c r="S18" i="68"/>
  <c r="R18" i="68"/>
  <c r="O18" i="68"/>
  <c r="Z17" i="68"/>
  <c r="X17" i="68"/>
  <c r="V17" i="68"/>
  <c r="U17" i="68"/>
  <c r="T17" i="68"/>
  <c r="I17" i="68" s="1"/>
  <c r="S17" i="68"/>
  <c r="W17" i="68" s="1"/>
  <c r="P17" i="68" s="1"/>
  <c r="Q17" i="68" s="1"/>
  <c r="E17" i="68" s="1"/>
  <c r="R17" i="68"/>
  <c r="O17" i="68"/>
  <c r="Z16" i="68"/>
  <c r="X16" i="68"/>
  <c r="W16" i="68"/>
  <c r="P16" i="68" s="1"/>
  <c r="Q16" i="68" s="1"/>
  <c r="V16" i="68"/>
  <c r="U16" i="68"/>
  <c r="T16" i="68"/>
  <c r="I16" i="68" s="1"/>
  <c r="S16" i="68"/>
  <c r="R16" i="68"/>
  <c r="O16" i="68"/>
  <c r="Z15" i="68"/>
  <c r="X15" i="68"/>
  <c r="W15" i="68"/>
  <c r="P15" i="68" s="1"/>
  <c r="Q15" i="68" s="1"/>
  <c r="V15" i="68"/>
  <c r="U15" i="68"/>
  <c r="T15" i="68"/>
  <c r="I15" i="68" s="1"/>
  <c r="S15" i="68"/>
  <c r="R15" i="68"/>
  <c r="O15" i="68"/>
  <c r="Z14" i="68"/>
  <c r="X14" i="68"/>
  <c r="V14" i="68"/>
  <c r="W14" i="68" s="1"/>
  <c r="P14" i="68" s="1"/>
  <c r="Q14" i="68" s="1"/>
  <c r="U14" i="68"/>
  <c r="T14" i="68"/>
  <c r="I14" i="68" s="1"/>
  <c r="S14" i="68"/>
  <c r="R14" i="68"/>
  <c r="O14" i="68"/>
  <c r="Z13" i="68"/>
  <c r="X13" i="68"/>
  <c r="V13" i="68"/>
  <c r="U13" i="68"/>
  <c r="T13" i="68"/>
  <c r="I13" i="68" s="1"/>
  <c r="S13" i="68"/>
  <c r="W13" i="68" s="1"/>
  <c r="P13" i="68" s="1"/>
  <c r="Q13" i="68" s="1"/>
  <c r="E13" i="68" s="1"/>
  <c r="R13" i="68"/>
  <c r="O13" i="68"/>
  <c r="V12" i="68"/>
  <c r="U12" i="68"/>
  <c r="T12" i="68"/>
  <c r="I12" i="68" s="1"/>
  <c r="S12" i="68"/>
  <c r="R12" i="68"/>
  <c r="O12" i="68"/>
  <c r="V11" i="68"/>
  <c r="U11" i="68"/>
  <c r="T11" i="68"/>
  <c r="I11" i="68" s="1"/>
  <c r="S11" i="68"/>
  <c r="R11" i="68"/>
  <c r="O11" i="68"/>
  <c r="V10" i="68"/>
  <c r="U10" i="68"/>
  <c r="T10" i="68"/>
  <c r="I10" i="68" s="1"/>
  <c r="S10" i="68"/>
  <c r="R10" i="68"/>
  <c r="W10" i="68" s="1"/>
  <c r="P10" i="68" s="1"/>
  <c r="Q10" i="68" s="1"/>
  <c r="O10" i="68"/>
  <c r="V9" i="68"/>
  <c r="U9" i="68"/>
  <c r="T9" i="68"/>
  <c r="I9" i="68" s="1"/>
  <c r="S9" i="68"/>
  <c r="R9" i="68"/>
  <c r="O9" i="68"/>
  <c r="AN1" i="68"/>
  <c r="W23" i="78" l="1"/>
  <c r="P23" i="78" s="1"/>
  <c r="Q23" i="78" s="1"/>
  <c r="W15" i="78"/>
  <c r="P15" i="78" s="1"/>
  <c r="Q15" i="78" s="1"/>
  <c r="G15" i="78" s="1"/>
  <c r="W11" i="68"/>
  <c r="P11" i="68" s="1"/>
  <c r="Q11" i="68" s="1"/>
  <c r="W12" i="68"/>
  <c r="P12" i="68" s="1"/>
  <c r="Q12" i="68" s="1"/>
  <c r="E12" i="68" s="1"/>
  <c r="W10" i="79"/>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7" i="68"/>
  <c r="G13" i="68"/>
  <c r="E30" i="68"/>
  <c r="E33" i="68"/>
  <c r="D8" i="12"/>
  <c r="A8" i="12"/>
  <c r="A8" i="127" s="1"/>
  <c r="E15" i="78" l="1"/>
  <c r="G12" i="68"/>
  <c r="D8" i="127"/>
  <c r="G10" i="79"/>
  <c r="E36" i="79" s="1"/>
  <c r="E10" i="78"/>
  <c r="E36" i="78" s="1"/>
  <c r="E9" i="68"/>
  <c r="G21" i="68"/>
  <c r="AJ2" i="68"/>
  <c r="AJ1" i="68"/>
  <c r="AF5" i="68" s="1"/>
  <c r="E36" i="68" l="1"/>
  <c r="J9" i="12" s="1"/>
  <c r="AJ3" i="68"/>
  <c r="AK1" i="68"/>
  <c r="AJ4" i="68"/>
  <c r="AK2" i="68"/>
  <c r="J8" i="127" l="1"/>
  <c r="I14" i="12"/>
  <c r="I14" i="127" s="1"/>
  <c r="I15" i="12"/>
  <c r="I15" i="127" s="1"/>
  <c r="I17" i="12"/>
  <c r="I17" i="127" s="1"/>
  <c r="F10" i="12" l="1"/>
  <c r="F11" i="12" s="1"/>
  <c r="F12" i="12" s="1"/>
  <c r="F13" i="12" s="1"/>
  <c r="F14" i="12" s="1"/>
  <c r="F15" i="12" l="1"/>
  <c r="F17" i="12" s="1"/>
  <c r="F16" i="12"/>
  <c r="J11" i="12"/>
  <c r="J11" i="127" s="1"/>
  <c r="U9" i="12" l="1"/>
  <c r="D9" i="12"/>
  <c r="D6" i="12"/>
  <c r="D5" i="12"/>
  <c r="D6" i="127" l="1"/>
  <c r="D5" i="127"/>
  <c r="AJ8" i="68"/>
  <c r="D9" i="127"/>
  <c r="U10" i="12"/>
  <c r="B3" i="68"/>
  <c r="B3" i="85"/>
  <c r="B3" i="84"/>
  <c r="B3" i="83"/>
  <c r="B3" i="81"/>
  <c r="B3" i="80"/>
  <c r="B3" i="79"/>
  <c r="B3" i="82"/>
  <c r="B3" i="78"/>
  <c r="B4" i="68"/>
  <c r="B4" i="85"/>
  <c r="B4" i="84"/>
  <c r="B4" i="83"/>
  <c r="B4" i="82"/>
  <c r="B4" i="81"/>
  <c r="B4" i="80"/>
  <c r="B4" i="79"/>
  <c r="B4" i="78"/>
  <c r="AJ2" i="78"/>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s="1"/>
  <c r="AJ8" i="83" l="1"/>
  <c r="AJ2" i="84"/>
  <c r="D17" i="127" l="1"/>
  <c r="Q5" i="77" l="1"/>
  <c r="AJ5" i="85" l="1"/>
  <c r="AJ5" i="83"/>
  <c r="AJ5" i="81"/>
  <c r="AJ5" i="84"/>
  <c r="AJ5" i="82"/>
  <c r="AJ5" i="78"/>
  <c r="AJ5" i="80"/>
  <c r="AJ5" i="79"/>
  <c r="AJ5" i="68"/>
  <c r="J14" i="12"/>
  <c r="J15" i="12"/>
  <c r="J12" i="12"/>
  <c r="J12" i="127" s="1"/>
  <c r="J13" i="12"/>
  <c r="J13" i="127" s="1"/>
  <c r="J10" i="12"/>
  <c r="J10" i="127" s="1"/>
  <c r="K14" i="12" l="1"/>
  <c r="J14" i="127"/>
  <c r="K17" i="12"/>
  <c r="J17" i="127"/>
  <c r="K15" i="12"/>
  <c r="J15" i="127"/>
  <c r="AN5" i="78"/>
  <c r="Y9" i="78" s="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AN4" i="78"/>
  <c r="AN4" i="82"/>
  <c r="AN5" i="82"/>
  <c r="AN5" i="84"/>
  <c r="AN4" i="84"/>
  <c r="AN5" i="81"/>
  <c r="AN4" i="81"/>
  <c r="AN5" i="79"/>
  <c r="Y9" i="79" s="1"/>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5" i="68"/>
  <c r="Y9" i="68" s="1"/>
  <c r="A9" i="68" s="1"/>
  <c r="Y10" i="68" s="1"/>
  <c r="A10" i="68" s="1"/>
  <c r="Y11" i="68" s="1"/>
  <c r="A11" i="68" s="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AN4" i="68"/>
  <c r="L14" i="12" l="1"/>
  <c r="L14" i="127" s="1"/>
  <c r="K14" i="127"/>
  <c r="L15" i="12"/>
  <c r="L15" i="127" s="1"/>
  <c r="K15" i="127"/>
  <c r="L17" i="12"/>
  <c r="L17" i="127" s="1"/>
  <c r="K17" i="127"/>
  <c r="J18" i="12"/>
  <c r="J9" i="127" l="1"/>
  <c r="J18" i="127" s="1"/>
  <c r="I11" i="12"/>
  <c r="I11" i="127" s="1"/>
  <c r="I9" i="12"/>
  <c r="I9" i="127" s="1"/>
  <c r="I8" i="127"/>
  <c r="K14" i="68" l="1"/>
  <c r="I13" i="12"/>
  <c r="I12" i="12"/>
  <c r="K11" i="12"/>
  <c r="I10" i="12"/>
  <c r="K9" i="12"/>
  <c r="K10" i="12" l="1"/>
  <c r="L10" i="12" s="1"/>
  <c r="L10" i="127" s="1"/>
  <c r="I10" i="127"/>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18" i="12" l="1"/>
  <c r="K10" i="127"/>
  <c r="K13" i="127"/>
  <c r="K12" i="127"/>
  <c r="K8" i="127"/>
  <c r="K36" i="83"/>
  <c r="K36" i="85"/>
  <c r="K36" i="68"/>
  <c r="K36" i="79"/>
  <c r="K36" i="82"/>
  <c r="K36" i="80"/>
  <c r="K36" i="84"/>
  <c r="K36" i="81"/>
  <c r="K36" i="78"/>
  <c r="L8" i="12"/>
  <c r="L18" i="12" s="1"/>
  <c r="K18" i="127" l="1"/>
  <c r="L8" i="127"/>
  <c r="L18" i="127" s="1"/>
  <c r="A12" i="12"/>
  <c r="A12" i="127" s="1"/>
  <c r="AJ7" i="80" l="1"/>
  <c r="U14" i="12"/>
  <c r="AJ1" i="81"/>
  <c r="A13" i="12"/>
  <c r="A13" i="127" s="1"/>
  <c r="AF5" i="81" l="1"/>
  <c r="AJ4" i="81" s="1"/>
  <c r="AF6" i="81"/>
  <c r="AJ3" i="81" s="1"/>
  <c r="Y9" i="81" s="1"/>
  <c r="A9" i="81" s="1"/>
  <c r="Y10" i="81" s="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D1" i="80"/>
  <c r="AJ7" i="81"/>
  <c r="U15" i="12"/>
  <c r="AJ1" i="82"/>
  <c r="A14" i="12"/>
  <c r="A15" i="12" l="1"/>
  <c r="AJ7" i="83" s="1"/>
  <c r="A14" i="127"/>
  <c r="AF6" i="82"/>
  <c r="AJ3" i="82" s="1"/>
  <c r="Y9" i="82" s="1"/>
  <c r="A9" i="82" s="1"/>
  <c r="AF5" i="82"/>
  <c r="AJ4" i="82" s="1"/>
  <c r="D1" i="81"/>
  <c r="AJ7" i="82"/>
  <c r="U16" i="12"/>
  <c r="A16" i="12" s="1"/>
  <c r="AJ1" i="83"/>
  <c r="U17" i="12"/>
  <c r="A17" i="12" l="1"/>
  <c r="AJ7" i="85" s="1"/>
  <c r="D1" i="85" s="1"/>
  <c r="AJ7" i="84"/>
  <c r="A16" i="127"/>
  <c r="Y10" i="82"/>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A15" i="127"/>
  <c r="AF5" i="83"/>
  <c r="AJ4" i="83" s="1"/>
  <c r="AF6" i="83"/>
  <c r="AJ3" i="83" s="1"/>
  <c r="Y9" i="83" s="1"/>
  <c r="A9" i="83" s="1"/>
  <c r="D1" i="82"/>
  <c r="AJ1" i="84"/>
  <c r="AJ1" i="128"/>
  <c r="AF6" i="84" l="1"/>
  <c r="AJ3" i="84" s="1"/>
  <c r="Y9" i="84" s="1"/>
  <c r="A9" i="84" s="1"/>
  <c r="AF5" i="84"/>
  <c r="AJ4" i="84" s="1"/>
  <c r="AF5" i="128"/>
  <c r="AJ4" i="128" s="1"/>
  <c r="AF6" i="128"/>
  <c r="AJ3" i="128" s="1"/>
  <c r="Y9" i="128" s="1"/>
  <c r="A9" i="128" s="1"/>
  <c r="Y10" i="83"/>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A17" i="127"/>
  <c r="D1" i="83"/>
  <c r="AJ1" i="85"/>
  <c r="Y10" i="128" l="1"/>
  <c r="A10" i="128" s="1"/>
  <c r="Y11" i="128" s="1"/>
  <c r="A11" i="128" s="1"/>
  <c r="Y12" i="128" s="1"/>
  <c r="A12" i="128" s="1"/>
  <c r="Y13" i="128" s="1"/>
  <c r="A13" i="128" s="1"/>
  <c r="Y14" i="128" s="1"/>
  <c r="A14" i="128" s="1"/>
  <c r="Y15" i="128" s="1"/>
  <c r="A15" i="128" s="1"/>
  <c r="Y16" i="128" s="1"/>
  <c r="A16" i="128" s="1"/>
  <c r="Y17" i="128" s="1"/>
  <c r="A17" i="128" s="1"/>
  <c r="Y18" i="128" s="1"/>
  <c r="A18" i="128" s="1"/>
  <c r="Y19" i="128" s="1"/>
  <c r="A19" i="128" s="1"/>
  <c r="Y20" i="128" s="1"/>
  <c r="A20" i="128" s="1"/>
  <c r="Y21" i="128" s="1"/>
  <c r="A21" i="128" s="1"/>
  <c r="Y22" i="128" s="1"/>
  <c r="A22" i="128" s="1"/>
  <c r="Y23" i="128" s="1"/>
  <c r="A23" i="128" s="1"/>
  <c r="Y24" i="128" s="1"/>
  <c r="A24" i="128" s="1"/>
  <c r="Y25" i="128" s="1"/>
  <c r="A25" i="128" s="1"/>
  <c r="Y26" i="128" s="1"/>
  <c r="A26" i="128" s="1"/>
  <c r="Y27" i="128" s="1"/>
  <c r="A27" i="128" s="1"/>
  <c r="Y28" i="128" s="1"/>
  <c r="A28" i="128" s="1"/>
  <c r="Y29" i="128" s="1"/>
  <c r="A29" i="128" s="1"/>
  <c r="Y30" i="128" s="1"/>
  <c r="A30" i="128" s="1"/>
  <c r="Y31" i="128" s="1"/>
  <c r="A31" i="128" s="1"/>
  <c r="Y32" i="128" s="1"/>
  <c r="A32" i="128" s="1"/>
  <c r="Y33" i="128" s="1"/>
  <c r="A33" i="128" s="1"/>
  <c r="Y34" i="128" s="1"/>
  <c r="A34" i="128" s="1"/>
  <c r="Y35" i="128" s="1"/>
  <c r="A35" i="128" s="1"/>
  <c r="Y10" i="84"/>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AF6" i="85"/>
  <c r="AJ3" i="85" s="1"/>
  <c r="Y9" i="85" s="1"/>
  <c r="A9" i="85" s="1"/>
  <c r="AF5" i="85"/>
  <c r="AJ4" i="85" s="1"/>
  <c r="D1" i="84"/>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9"/>
            <color indexed="81"/>
            <rFont val="MS P ゴシック"/>
            <family val="3"/>
            <charset val="128"/>
          </rPr>
          <t>初期条件設定表に入力して下さい</t>
        </r>
      </text>
    </comment>
    <comment ref="D6" authorId="0" shapeId="0" xr:uid="{00000000-0006-0000-0300-000002000000}">
      <text>
        <r>
          <rPr>
            <b/>
            <sz val="9"/>
            <color indexed="81"/>
            <rFont val="MS P ゴシック"/>
            <family val="3"/>
            <charset val="128"/>
          </rPr>
          <t>初期条件設定表に入力して下さい</t>
        </r>
      </text>
    </comment>
    <comment ref="J8" authorId="0" shapeId="0" xr:uid="{00000000-0006-0000-0300-00000400000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<sst xmlns="http://schemas.openxmlformats.org/spreadsheetml/2006/main" count="2455" uniqueCount="197">
  <si>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</si>
  <si>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</si>
  <si>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</si>
  <si>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</si>
  <si>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</si>
  <si>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</si>
  <si>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</si>
  <si>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</si>
  <si>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</si>
  <si>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</si>
  <si>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</si>
  <si>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</si>
  <si>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</si>
  <si>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</si>
  <si>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</si>
  <si>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</si>
  <si>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</si>
  <si>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</si>
  <si>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</si>
  <si>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</si>
  <si>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</si>
  <si>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</si>
  <si>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</si>
  <si>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</si>
  <si>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</si>
  <si>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</si>
  <si>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</si>
  <si>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</si>
  <si>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</si>
  <si>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</si>
  <si>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</si>
  <si>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</si>
  <si>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</si>
  <si>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</si>
  <si>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</si>
  <si>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</si>
  <si>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</si>
  <si>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</si>
  <si>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</si>
  <si>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</si>
  <si>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</si>
  <si>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</si>
  <si>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</si>
  <si>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</si>
  <si>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</si>
  <si>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</si>
  <si>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</si>
  <si>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</si>
  <si>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</si>
  <si>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</si>
  <si>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</si>
  <si>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</si>
  <si>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</si>
  <si>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</si>
  <si>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</si>
  <si>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</si>
  <si>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</si>
  <si>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</si>
  <si>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</si>
  <si>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</si>
  <si>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</si>
  <si>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</si>
  <si>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</si>
  <si>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</si>
  <si>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</si>
  <si>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</si>
  <si>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</si>
  <si>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</si>
  <si>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</si>
  <si>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</si>
  <si>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</si>
  <si>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</si>
  <si>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</si>
  <si>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</si>
  <si>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</si>
  <si>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</si>
  <si>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</si>
  <si>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</si>
  <si>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</si>
  <si>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</si>
  <si>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</si>
  <si>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</si>
  <si>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</si>
  <si>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</si>
  <si>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</si>
  <si>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</si>
  <si>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</si>
  <si>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</si>
  <si>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</si>
  <si>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</si>
  <si>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</si>
  <si>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</si>
  <si>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</si>
  <si>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</si>
  <si>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</si>
  <si>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</si>
  <si>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</si>
  <si>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</si>
  <si>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</si>
  <si>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</si>
  <si>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</si>
  <si>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</si>
  <si>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</si>
  <si>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</si>
  <si>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</si>
  <si>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</si>
  <si>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</si>
  <si>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</si>
  <si>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</si>
  <si>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</si>
  <si>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</si>
  <si>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</si>
  <si>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</si>
  <si>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</si>
  <si>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</si>
  <si>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</si>
  <si>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</si>
  <si>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</si>
  <si>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</si>
  <si>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</si>
  <si>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</si>
  <si>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</si>
  <si>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</si>
  <si>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</si>
  <si>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</si>
  <si>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</si>
  <si>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</si>
  <si>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</si>
  <si>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</si>
  <si>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</si>
  <si>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</si>
  <si>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</si>
  <si>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</si>
  <si>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</si>
  <si>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</si>
  <si>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</si>
  <si>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</si>
  <si>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</si>
  <si>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</si>
  <si>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</si>
  <si>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</si>
  <si>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</si>
  <si>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</si>
  <si>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</si>
  <si>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</si>
  <si>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</si>
  <si>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</si>
  <si>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</si>
  <si>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</si>
  <si>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</si>
  <si>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</si>
  <si>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</si>
  <si>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設計</t>
  </si>
  <si>
    <t>要件定義</t>
  </si>
  <si>
    <t>目標仕様</t>
  </si>
  <si>
    <t>試作</t>
  </si>
  <si>
    <t>単体テスト</t>
  </si>
  <si>
    <t>総合テスト</t>
  </si>
  <si>
    <t xml:space="preserve"> </t>
  </si>
  <si>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</si>
  <si>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</si>
  <si>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t>　例)　「15」、「20」 、「末」(月末締の場合)など</t>
    <rPh sb="1" eb="2">
      <t>レイ</t>
    </rPh>
    <rPh sb="16" eb="17">
      <t>スエ</t>
    </rPh>
    <rPh sb="19" eb="21">
      <t>ゲツマツ</t>
    </rPh>
    <rPh sb="21" eb="22">
      <t>シ</t>
    </rPh>
    <rPh sb="23" eb="25">
      <t>バアイ</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</si>
  <si>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rPh sb="331" eb="334">
      <t>ジドウテキ</t>
    </rPh>
    <rPh sb="335" eb="337">
      <t>キサイ</t>
    </rPh>
    <phoneticPr fontId="3"/>
  </si>
  <si>
    <t>翌月払い⇒2025年12月支払分（2025年11月作業分）は本様式でなく様式第7号に入力してください。</t>
    <rPh sb="0" eb="2">
      <t>ヨクゲツ</t>
    </rPh>
    <rPh sb="2" eb="3">
      <t>ハラ</t>
    </rPh>
    <rPh sb="9" eb="10">
      <t>ネン</t>
    </rPh>
    <rPh sb="12" eb="13">
      <t>ガツ</t>
    </rPh>
    <rPh sb="13" eb="16">
      <t>シハライブン</t>
    </rPh>
    <rPh sb="25" eb="28">
      <t>サギョウブン</t>
    </rPh>
    <rPh sb="30" eb="33">
      <t>ホンヨウシキ</t>
    </rPh>
    <rPh sb="36" eb="38">
      <t>ヨウシキ</t>
    </rPh>
    <rPh sb="38" eb="39">
      <t>ダイ</t>
    </rPh>
    <rPh sb="40" eb="41">
      <t>ゴウ</t>
    </rPh>
    <rPh sb="42" eb="44">
      <t>ニュウリョク</t>
    </rPh>
    <phoneticPr fontId="3"/>
  </si>
  <si>
    <t>要件定義</t>
    <rPh sb="0" eb="4">
      <t>ヨウケンテイギ</t>
    </rPh>
    <phoneticPr fontId="3"/>
  </si>
  <si>
    <t>運用テスト</t>
    <rPh sb="0" eb="2">
      <t>ウンヨウ</t>
    </rPh>
    <phoneticPr fontId="3"/>
  </si>
  <si>
    <t>システム要件定義</t>
    <rPh sb="4" eb="8">
      <t>ヨウケンテイギ</t>
    </rPh>
    <phoneticPr fontId="3"/>
  </si>
  <si>
    <t>システムテスト</t>
  </si>
  <si>
    <t>システム方式設計</t>
    <rPh sb="4" eb="8">
      <t>ホウシキセッケイ</t>
    </rPh>
    <phoneticPr fontId="3"/>
  </si>
  <si>
    <t>システム結合</t>
    <rPh sb="4" eb="6">
      <t>ケツゴウ</t>
    </rPh>
    <phoneticPr fontId="3"/>
  </si>
  <si>
    <t>ソフトウェア設計</t>
    <rPh sb="6" eb="8">
      <t>セッケイ</t>
    </rPh>
    <phoneticPr fontId="3"/>
  </si>
  <si>
    <t>ソフトウェアテスト</t>
  </si>
  <si>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</si>
  <si>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</si>
  <si>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</si>
  <si>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</si>
  <si>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</si>
  <si>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</si>
  <si>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</si>
  <si>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</si>
  <si>
    <t>交付決定通知に記載された、遂行状況報告の報告対象期間</t>
    <rPh sb="0" eb="4">
      <t>コウフケッテイ</t>
    </rPh>
    <rPh sb="4" eb="6">
      <t>ツウチ</t>
    </rPh>
    <rPh sb="7" eb="9">
      <t>キサイ</t>
    </rPh>
    <rPh sb="13" eb="17">
      <t>スイコウジョウキョウ</t>
    </rPh>
    <rPh sb="17" eb="19">
      <t>ホウコク</t>
    </rPh>
    <rPh sb="20" eb="26">
      <t>ホウコクタイショウキカン</t>
    </rPh>
    <phoneticPr fontId="3"/>
  </si>
  <si>
    <t>開始年月日</t>
    <rPh sb="0" eb="2">
      <t>カイシ</t>
    </rPh>
    <rPh sb="2" eb="3">
      <t>ネン</t>
    </rPh>
    <rPh sb="3" eb="4">
      <t>ツキ</t>
    </rPh>
    <rPh sb="4" eb="5">
      <t>ニチ</t>
    </rPh>
    <phoneticPr fontId="3"/>
  </si>
  <si>
    <t>別紙3-1</t>
    <rPh sb="0" eb="2">
      <t>ベッシ</t>
    </rPh>
    <phoneticPr fontId="3"/>
  </si>
  <si>
    <t>別紙3-2</t>
    <rPh sb="0" eb="2">
      <t>ベッシ</t>
    </rPh>
    <phoneticPr fontId="3"/>
  </si>
  <si>
    <t>様式6号（別紙3-1）</t>
    <phoneticPr fontId="3"/>
  </si>
  <si>
    <t>様式第6号（別紙3-2）</t>
    <rPh sb="2" eb="3">
      <t>ダイ</t>
    </rPh>
    <phoneticPr fontId="3"/>
  </si>
  <si>
    <t>R７年度単価表</t>
    <rPh sb="2" eb="4">
      <t>ネンド</t>
    </rPh>
    <rPh sb="4" eb="6">
      <t>タンカ</t>
    </rPh>
    <rPh sb="6" eb="7">
      <t>ヒョウ</t>
    </rPh>
    <phoneticPr fontId="3"/>
  </si>
  <si>
    <t>構想</t>
  </si>
  <si>
    <t>○○製造株式会社</t>
    <rPh sb="2" eb="4">
      <t>セイゾウ</t>
    </rPh>
    <rPh sb="4" eb="8">
      <t>カブシキガイシャ</t>
    </rPh>
    <phoneticPr fontId="3"/>
  </si>
  <si>
    <t>〇〇部</t>
    <rPh sb="2" eb="3">
      <t>ブ</t>
    </rPh>
    <phoneticPr fontId="3"/>
  </si>
  <si>
    <t>〇〇　太郎</t>
    <rPh sb="3" eb="5">
      <t>タロウ</t>
    </rPh>
    <phoneticPr fontId="3"/>
  </si>
  <si>
    <t>要求仕様書作成</t>
  </si>
  <si>
    <t>○○部</t>
    <rPh sb="2" eb="3">
      <t>ブ</t>
    </rPh>
    <phoneticPr fontId="3"/>
  </si>
  <si>
    <t>製図</t>
  </si>
  <si>
    <t>製作</t>
  </si>
  <si>
    <t>製造・加工</t>
  </si>
  <si>
    <t>〇〇製造株式会社</t>
    <rPh sb="2" eb="4">
      <t>セイゾウ</t>
    </rPh>
    <rPh sb="4" eb="8">
      <t>カブシキガイシャ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</si>
</sst>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 numFmtId="188" formatCode="#,##0.00_ "/>
    <numFmt numFmtId="189" formatCode="#,##0.0000_ "/>
  </numFmts>
  <fonts count="44">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
      <sz val="11"/>
      <color rgb="FFFF0000"/>
      <name val="ＭＳ Ｐゴシック"/>
      <family val="3"/>
      <charset val="128"/>
    </font>
    <font>
      <sz val="14"/>
      <color rgb="FFFF0000"/>
      <name val="ＭＳ Ｐゴシック"/>
      <family val="3"/>
      <charset val="128"/>
    </font>
    <font>
      <sz val="12"/>
      <color rgb="FFFF0000"/>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7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8" fillId="0" borderId="0" xfId="2" applyNumberFormat="1" applyFont="1" applyAlignment="1">
      <alignment vertical="center"/>
    </xf>
    <xf numFmtId="0" fontId="17" fillId="0" borderId="0" xfId="0" applyFont="1" applyAlignment="1">
      <alignment vertical="center"/>
    </xf>
    <xf numFmtId="0" fontId="18" fillId="0" borderId="0" xfId="0" applyFont="1" applyAlignment="1">
      <alignment vertical="center"/>
    </xf>
    <xf numFmtId="178" fontId="18" fillId="0" borderId="0" xfId="2" applyNumberFormat="1" applyFont="1">
      <alignment vertical="center"/>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38" xfId="0" applyNumberFormat="1" applyFont="1" applyFill="1" applyBorder="1" applyAlignment="1" applyProtection="1">
      <alignment horizontal="right" vertical="center"/>
      <protection locked="0"/>
    </xf>
    <xf numFmtId="0" fontId="15" fillId="0" borderId="40" xfId="0" applyFont="1" applyFill="1" applyBorder="1" applyAlignment="1">
      <alignment horizontal="center"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39"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184" fontId="15" fillId="0" borderId="15" xfId="0" applyNumberFormat="1" applyFont="1" applyFill="1" applyBorder="1" applyAlignment="1" applyProtection="1">
      <alignment horizontal="right" vertical="center" shrinkToFit="1"/>
      <protection locked="0"/>
    </xf>
    <xf numFmtId="184" fontId="15" fillId="0" borderId="38"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1"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3"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7" xfId="2" applyNumberFormat="1" applyFont="1" applyBorder="1" applyAlignment="1" applyProtection="1">
      <alignment vertical="center" shrinkToFit="1"/>
    </xf>
    <xf numFmtId="186" fontId="0" fillId="0" borderId="43" xfId="0" applyNumberFormat="1" applyBorder="1"/>
    <xf numFmtId="0" fontId="23" fillId="0" borderId="0" xfId="0" applyFont="1" applyAlignment="1">
      <alignment vertical="center"/>
    </xf>
    <xf numFmtId="178" fontId="24" fillId="0" borderId="0" xfId="2" applyNumberFormat="1" applyFont="1" applyProtection="1">
      <alignment vertical="center"/>
    </xf>
    <xf numFmtId="178" fontId="24"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3"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Border="1">
      <alignment vertical="center"/>
    </xf>
    <xf numFmtId="0" fontId="1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0" fontId="0" fillId="0" borderId="0" xfId="0" applyFont="1" applyBorder="1" applyAlignment="1">
      <alignment horizontal="left" vertical="center"/>
    </xf>
    <xf numFmtId="178" fontId="1" fillId="8" borderId="43" xfId="0" applyNumberFormat="1" applyFon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protection locked="0"/>
    </xf>
    <xf numFmtId="0" fontId="14" fillId="3" borderId="35" xfId="0" applyNumberFormat="1" applyFont="1" applyFill="1" applyBorder="1" applyAlignment="1" applyProtection="1">
      <alignment horizontal="center" vertical="center" wrapText="1"/>
      <protection locked="0"/>
    </xf>
    <xf numFmtId="0" fontId="14" fillId="3" borderId="36"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8"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0" xfId="0" applyFont="1" applyBorder="1" applyAlignment="1" applyProtection="1">
      <alignment horizontal="left" vertical="center"/>
    </xf>
    <xf numFmtId="0" fontId="14" fillId="3" borderId="59" xfId="0" applyNumberFormat="1" applyFont="1" applyFill="1" applyBorder="1" applyAlignment="1" applyProtection="1">
      <alignment horizontal="center" vertical="center" wrapText="1"/>
      <protection locked="0"/>
    </xf>
    <xf numFmtId="0" fontId="15" fillId="0" borderId="57" xfId="0" applyFont="1" applyBorder="1" applyAlignment="1" applyProtection="1">
      <alignment horizontal="left" vertical="center"/>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0" fontId="1" fillId="0" borderId="4"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60"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8" fillId="0" borderId="0" xfId="2" applyNumberFormat="1" applyFont="1" applyAlignment="1" applyProtection="1">
      <alignment horizontal="center" vertical="center" textRotation="255" wrapText="1"/>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7" fillId="0" borderId="0" xfId="0" applyFont="1" applyAlignment="1">
      <alignment horizontal="left" vertical="top"/>
    </xf>
    <xf numFmtId="0" fontId="31"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6" fillId="0" borderId="0" xfId="0" applyFont="1" applyAlignment="1">
      <alignment vertical="center"/>
    </xf>
    <xf numFmtId="0" fontId="0" fillId="0" borderId="32" xfId="0" applyBorder="1" applyAlignment="1">
      <alignment horizontal="right"/>
    </xf>
    <xf numFmtId="187" fontId="0" fillId="10" borderId="43" xfId="0" applyNumberFormat="1" applyFill="1" applyBorder="1" applyAlignment="1" applyProtection="1">
      <alignment horizontal="center" shrinkToFit="1"/>
      <protection locked="0"/>
    </xf>
    <xf numFmtId="0" fontId="1" fillId="7" borderId="13" xfId="1" applyNumberFormat="1" applyFont="1" applyFill="1" applyBorder="1" applyAlignment="1">
      <alignment horizontal="center" vertical="center"/>
    </xf>
    <xf numFmtId="178" fontId="1" fillId="7" borderId="13" xfId="2" applyNumberFormat="1" applyFont="1" applyFill="1" applyBorder="1" applyAlignment="1">
      <alignment horizontal="center" vertical="center"/>
    </xf>
    <xf numFmtId="0" fontId="1" fillId="7" borderId="42" xfId="1" applyNumberFormat="1" applyFont="1" applyFill="1" applyBorder="1" applyAlignment="1">
      <alignment horizontal="center" vertical="center"/>
    </xf>
    <xf numFmtId="178" fontId="1" fillId="7" borderId="42" xfId="2" applyNumberFormat="1" applyFont="1" applyFill="1" applyBorder="1" applyAlignment="1">
      <alignment horizontal="center" vertical="center"/>
    </xf>
    <xf numFmtId="0" fontId="1" fillId="7" borderId="20" xfId="1" applyNumberFormat="1" applyFont="1" applyFill="1" applyBorder="1" applyAlignment="1">
      <alignment horizontal="center" vertical="center"/>
    </xf>
    <xf numFmtId="178" fontId="1" fillId="7" borderId="20" xfId="2" applyNumberFormat="1" applyFont="1" applyFill="1" applyBorder="1" applyAlignment="1">
      <alignment horizontal="center" vertical="center"/>
    </xf>
    <xf numFmtId="178" fontId="1" fillId="7" borderId="7" xfId="2" applyNumberFormat="1" applyFont="1" applyFill="1" applyBorder="1" applyAlignment="1" applyProtection="1">
      <alignment horizontal="center" vertical="center" wrapText="1"/>
    </xf>
    <xf numFmtId="178" fontId="1" fillId="7" borderId="8" xfId="2" applyNumberFormat="1" applyFont="1" applyFill="1" applyBorder="1" applyAlignment="1">
      <alignment horizontal="center" vertical="center"/>
    </xf>
    <xf numFmtId="0" fontId="0" fillId="7" borderId="13" xfId="0" applyFill="1" applyBorder="1" applyAlignment="1">
      <alignment vertical="center"/>
    </xf>
    <xf numFmtId="178" fontId="1" fillId="7" borderId="3" xfId="2" applyNumberFormat="1" applyFont="1" applyFill="1" applyBorder="1" applyAlignment="1">
      <alignment horizontal="center" vertical="center"/>
    </xf>
    <xf numFmtId="0" fontId="0" fillId="7" borderId="42" xfId="0" applyFill="1" applyBorder="1" applyAlignment="1">
      <alignment vertical="center"/>
    </xf>
    <xf numFmtId="0" fontId="0" fillId="7" borderId="20" xfId="0" applyFill="1" applyBorder="1" applyAlignment="1">
      <alignment vertical="center"/>
    </xf>
    <xf numFmtId="187" fontId="0" fillId="7" borderId="27" xfId="0" applyNumberFormat="1" applyFill="1" applyBorder="1" applyAlignment="1" applyProtection="1">
      <alignment horizontal="center" shrinkToFit="1"/>
      <protection locked="0"/>
    </xf>
    <xf numFmtId="0" fontId="0" fillId="0" borderId="3" xfId="0" applyFont="1" applyBorder="1" applyAlignment="1">
      <alignment vertical="center" wrapText="1"/>
    </xf>
    <xf numFmtId="0" fontId="15" fillId="0" borderId="0" xfId="0" applyFont="1" applyAlignment="1">
      <alignment vertical="center"/>
    </xf>
    <xf numFmtId="0" fontId="15" fillId="0" borderId="0" xfId="0" applyFont="1" applyAlignment="1">
      <alignment horizontal="right" vertical="center"/>
    </xf>
    <xf numFmtId="0" fontId="0" fillId="0" borderId="4" xfId="0" applyFont="1" applyBorder="1" applyAlignment="1">
      <alignment vertical="center" wrapText="1"/>
    </xf>
    <xf numFmtId="183" fontId="0" fillId="0" borderId="4" xfId="0" applyNumberFormat="1" applyFill="1" applyBorder="1" applyAlignment="1" applyProtection="1">
      <alignment horizontal="center" vertical="center"/>
      <protection locked="0"/>
    </xf>
    <xf numFmtId="0" fontId="0" fillId="0" borderId="0" xfId="0" applyFill="1" applyBorder="1" applyAlignment="1">
      <alignment horizontal="center" vertical="center"/>
    </xf>
    <xf numFmtId="183" fontId="0" fillId="0" borderId="3" xfId="0" applyNumberFormat="1" applyFill="1" applyBorder="1" applyAlignment="1" applyProtection="1">
      <alignment horizontal="center" vertical="center"/>
      <protection locked="0"/>
    </xf>
    <xf numFmtId="183" fontId="0" fillId="0" borderId="8" xfId="0" applyNumberFormat="1" applyFill="1" applyBorder="1" applyAlignment="1" applyProtection="1">
      <alignment horizontal="center" vertical="center"/>
      <protection locked="0"/>
    </xf>
    <xf numFmtId="0" fontId="1" fillId="0" borderId="8" xfId="1" applyNumberFormat="1" applyFont="1" applyFill="1" applyBorder="1" applyAlignment="1">
      <alignment horizontal="center" vertical="center"/>
    </xf>
    <xf numFmtId="0" fontId="1" fillId="0" borderId="0" xfId="1" applyNumberFormat="1" applyFont="1" applyFill="1" applyBorder="1" applyAlignment="1">
      <alignment horizontal="center" vertical="center"/>
    </xf>
    <xf numFmtId="0" fontId="1" fillId="10" borderId="13" xfId="1" applyNumberFormat="1" applyFont="1" applyFill="1" applyBorder="1" applyAlignment="1">
      <alignment horizontal="center" vertical="center"/>
    </xf>
    <xf numFmtId="0" fontId="1" fillId="10" borderId="42" xfId="1" applyNumberFormat="1" applyFont="1" applyFill="1" applyBorder="1" applyAlignment="1">
      <alignment horizontal="center" vertical="center"/>
    </xf>
    <xf numFmtId="14" fontId="1" fillId="0" borderId="0" xfId="2" applyNumberFormat="1" applyFont="1" applyBorder="1" applyAlignment="1" applyProtection="1">
      <alignment vertical="center" wrapText="1"/>
    </xf>
    <xf numFmtId="178" fontId="1" fillId="0" borderId="0" xfId="2" applyNumberFormat="1" applyFont="1" applyBorder="1" applyProtection="1">
      <alignment vertical="center"/>
    </xf>
    <xf numFmtId="178" fontId="1" fillId="0" borderId="8" xfId="2" applyNumberFormat="1" applyFont="1" applyBorder="1" applyAlignment="1" applyProtection="1">
      <alignment vertical="center" wrapText="1"/>
    </xf>
    <xf numFmtId="178" fontId="1" fillId="0" borderId="11" xfId="2" applyNumberFormat="1" applyFont="1" applyBorder="1" applyAlignment="1">
      <alignment horizontal="center" vertical="center" wrapText="1"/>
    </xf>
    <xf numFmtId="14" fontId="1" fillId="0" borderId="11" xfId="2" applyNumberFormat="1" applyFont="1" applyBorder="1" applyAlignment="1" applyProtection="1">
      <alignment vertical="center" wrapText="1"/>
    </xf>
    <xf numFmtId="178" fontId="1" fillId="0" borderId="66" xfId="2" applyNumberFormat="1" applyFont="1" applyBorder="1" applyAlignment="1" applyProtection="1">
      <alignment vertical="center" shrinkToFit="1"/>
    </xf>
    <xf numFmtId="178" fontId="26" fillId="0" borderId="0" xfId="2" applyNumberFormat="1" applyFont="1" applyAlignment="1">
      <alignment vertical="center"/>
    </xf>
    <xf numFmtId="0" fontId="0" fillId="0" borderId="67" xfId="0" applyFont="1" applyBorder="1" applyAlignment="1">
      <alignment horizontal="center" vertical="center" wrapText="1"/>
    </xf>
    <xf numFmtId="0" fontId="15" fillId="9" borderId="3" xfId="0" applyFont="1" applyFill="1" applyBorder="1" applyAlignment="1" applyProtection="1">
      <alignment vertical="center" shrinkToFit="1"/>
      <protection locked="0"/>
    </xf>
    <xf numFmtId="0" fontId="0" fillId="0" borderId="68" xfId="0" applyFont="1" applyBorder="1" applyAlignment="1">
      <alignment horizontal="center" vertical="center" wrapText="1"/>
    </xf>
    <xf numFmtId="14" fontId="0" fillId="10" borderId="32" xfId="0" applyNumberFormat="1" applyFill="1" applyBorder="1" applyAlignment="1">
      <alignment shrinkToFit="1"/>
    </xf>
    <xf numFmtId="0" fontId="0" fillId="0" borderId="0" xfId="0" applyFont="1" applyAlignment="1">
      <alignment horizontal="right" vertical="center"/>
    </xf>
    <xf numFmtId="0" fontId="0" fillId="0" borderId="0" xfId="0" applyFont="1" applyAlignment="1" applyProtection="1">
      <alignment horizontal="center" vertical="center"/>
    </xf>
    <xf numFmtId="0" fontId="0" fillId="0" borderId="0" xfId="0" applyAlignment="1">
      <alignment horizontal="center"/>
    </xf>
    <xf numFmtId="188" fontId="1" fillId="0" borderId="0" xfId="2" applyNumberFormat="1" applyFont="1" applyAlignment="1">
      <alignment vertical="center" wrapText="1"/>
    </xf>
    <xf numFmtId="189" fontId="1" fillId="0" borderId="13" xfId="2" applyNumberFormat="1" applyFont="1" applyFill="1" applyBorder="1" applyAlignment="1" applyProtection="1">
      <alignment horizontal="right" vertical="center" shrinkToFit="1"/>
    </xf>
    <xf numFmtId="183" fontId="41" fillId="3" borderId="11" xfId="0" applyNumberFormat="1" applyFont="1" applyFill="1" applyBorder="1" applyAlignment="1" applyProtection="1">
      <alignment horizontal="center" vertical="center"/>
      <protection locked="0"/>
    </xf>
    <xf numFmtId="178" fontId="41" fillId="3" borderId="11" xfId="2" applyNumberFormat="1" applyFont="1" applyFill="1" applyBorder="1" applyAlignment="1" applyProtection="1">
      <alignment horizontal="center" vertical="center"/>
      <protection locked="0"/>
    </xf>
    <xf numFmtId="0" fontId="41" fillId="9" borderId="11" xfId="0" applyFont="1" applyFill="1" applyBorder="1" applyProtection="1">
      <protection locked="0"/>
    </xf>
    <xf numFmtId="0" fontId="0" fillId="0" borderId="0" xfId="0" applyFont="1" applyFill="1" applyBorder="1" applyProtection="1">
      <protection locked="0"/>
    </xf>
    <xf numFmtId="0" fontId="0" fillId="0" borderId="0" xfId="0" applyFill="1" applyBorder="1"/>
    <xf numFmtId="178" fontId="41" fillId="8" borderId="43" xfId="0" applyNumberFormat="1" applyFont="1" applyFill="1" applyBorder="1" applyAlignment="1" applyProtection="1">
      <alignment vertical="center" shrinkToFit="1"/>
      <protection locked="0"/>
    </xf>
    <xf numFmtId="20" fontId="42" fillId="3" borderId="2" xfId="0" applyNumberFormat="1" applyFont="1" applyFill="1" applyBorder="1" applyAlignment="1" applyProtection="1">
      <alignment horizontal="center" vertical="center"/>
      <protection locked="0"/>
    </xf>
    <xf numFmtId="0" fontId="42" fillId="0" borderId="4" xfId="0" applyFont="1" applyBorder="1" applyAlignment="1" applyProtection="1">
      <alignment horizontal="center" vertical="center"/>
      <protection locked="0"/>
    </xf>
    <xf numFmtId="20" fontId="42" fillId="3" borderId="7" xfId="0" applyNumberFormat="1" applyFont="1" applyFill="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183" fontId="42" fillId="3" borderId="30" xfId="0" applyNumberFormat="1" applyFont="1" applyFill="1" applyBorder="1" applyAlignment="1" applyProtection="1">
      <alignment horizontal="center" vertical="center"/>
      <protection locked="0"/>
    </xf>
    <xf numFmtId="0" fontId="43" fillId="3" borderId="20" xfId="0" applyFont="1" applyFill="1" applyBorder="1" applyAlignment="1" applyProtection="1">
      <alignment vertical="center"/>
      <protection locked="0"/>
    </xf>
    <xf numFmtId="0" fontId="43" fillId="3" borderId="6" xfId="0" applyFont="1" applyFill="1" applyBorder="1" applyAlignment="1" applyProtection="1">
      <alignment vertical="center"/>
      <protection locked="0"/>
    </xf>
    <xf numFmtId="0" fontId="43" fillId="3" borderId="11" xfId="0" applyFont="1" applyFill="1" applyBorder="1" applyAlignment="1" applyProtection="1">
      <alignment vertical="center"/>
      <protection locked="0"/>
    </xf>
    <xf numFmtId="0" fontId="43" fillId="3" borderId="47" xfId="0" applyFont="1" applyFill="1" applyBorder="1" applyAlignment="1" applyProtection="1">
      <alignment vertical="center"/>
      <protection locked="0"/>
    </xf>
    <xf numFmtId="0" fontId="42" fillId="8" borderId="3" xfId="0" applyFont="1" applyFill="1" applyBorder="1" applyAlignment="1" applyProtection="1">
      <alignment vertical="center" shrinkToFit="1"/>
      <protection locked="0"/>
    </xf>
    <xf numFmtId="0" fontId="42" fillId="0" borderId="4" xfId="0" applyFont="1" applyBorder="1" applyAlignment="1">
      <alignment horizontal="center" vertical="center"/>
    </xf>
    <xf numFmtId="0" fontId="15" fillId="0" borderId="4" xfId="0" applyFont="1" applyBorder="1" applyAlignment="1">
      <alignment horizontal="center" vertical="center"/>
    </xf>
    <xf numFmtId="0" fontId="4" fillId="0" borderId="0" xfId="0" applyFont="1" applyAlignment="1">
      <alignment horizontal="center" vertical="center"/>
    </xf>
    <xf numFmtId="0" fontId="0" fillId="7" borderId="61" xfId="0" applyFill="1" applyBorder="1" applyAlignment="1">
      <alignment vertical="center" wrapText="1"/>
    </xf>
    <xf numFmtId="0" fontId="0" fillId="7" borderId="62" xfId="0" applyFill="1" applyBorder="1" applyAlignment="1">
      <alignment vertical="center" wrapText="1"/>
    </xf>
    <xf numFmtId="0" fontId="0" fillId="7" borderId="63" xfId="0" applyFill="1" applyBorder="1" applyAlignment="1">
      <alignment vertical="center" wrapText="1"/>
    </xf>
    <xf numFmtId="0" fontId="41" fillId="9" borderId="11" xfId="0" applyFont="1" applyFill="1" applyBorder="1" applyAlignment="1" applyProtection="1">
      <alignment horizontal="center" vertical="center" wrapText="1"/>
      <protection locked="0"/>
    </xf>
    <xf numFmtId="0" fontId="19" fillId="0" borderId="0" xfId="0" applyFont="1" applyAlignment="1">
      <alignment horizontal="center" vertical="center"/>
    </xf>
    <xf numFmtId="0" fontId="41" fillId="3" borderId="2" xfId="0" applyFont="1" applyFill="1" applyBorder="1" applyAlignment="1" applyProtection="1">
      <alignment horizontal="left" vertical="center"/>
      <protection locked="0"/>
    </xf>
    <xf numFmtId="0" fontId="41" fillId="3" borderId="4" xfId="0" applyFont="1" applyFill="1" applyBorder="1" applyAlignment="1" applyProtection="1">
      <alignment horizontal="left" vertical="center"/>
      <protection locked="0"/>
    </xf>
    <xf numFmtId="0" fontId="41" fillId="3" borderId="7" xfId="0" applyFont="1" applyFill="1" applyBorder="1" applyAlignment="1" applyProtection="1">
      <alignment horizontal="left" vertical="center"/>
      <protection locked="0"/>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7" xfId="0" applyFill="1" applyBorder="1" applyAlignment="1"/>
    <xf numFmtId="0" fontId="25" fillId="0" borderId="18" xfId="0" applyFont="1" applyBorder="1" applyAlignment="1">
      <alignment horizontal="center" vertical="center"/>
    </xf>
    <xf numFmtId="0" fontId="18" fillId="0" borderId="17" xfId="0" applyFont="1" applyBorder="1" applyAlignment="1">
      <alignment horizontal="left" vertical="center" wrapText="1"/>
    </xf>
    <xf numFmtId="0" fontId="18" fillId="0" borderId="0" xfId="0" applyFont="1" applyAlignment="1">
      <alignment horizontal="left" vertical="center" wrapTex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20"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39" fillId="0" borderId="0" xfId="0" applyFont="1" applyAlignment="1">
      <alignment horizontal="left" vertical="top" wrapText="1"/>
    </xf>
    <xf numFmtId="0" fontId="39" fillId="0" borderId="0" xfId="0" applyFont="1" applyAlignment="1">
      <alignment horizontal="left" vertical="top"/>
    </xf>
    <xf numFmtId="0" fontId="0" fillId="0" borderId="0" xfId="0" applyFont="1" applyAlignment="1">
      <alignment horizontal="right" vertical="center"/>
    </xf>
    <xf numFmtId="0" fontId="14" fillId="0" borderId="2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64"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9" borderId="18" xfId="0" applyFont="1" applyFill="1" applyBorder="1" applyAlignment="1">
      <alignment horizontal="left"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14" fillId="0" borderId="3" xfId="0" applyFont="1" applyBorder="1" applyAlignment="1" applyProtection="1">
      <alignment horizontal="center" vertical="center"/>
    </xf>
    <xf numFmtId="0" fontId="0" fillId="0" borderId="55"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xr:uid="{00000000-0005-0000-0000-000001000000}"/>
    <cellStyle name="通貨" xfId="4" builtinId="7"/>
    <cellStyle name="標準" xfId="0" builtinId="0"/>
    <cellStyle name="標準 2" xfId="2" xr:uid="{00000000-0005-0000-0000-000004000000}"/>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EB"/>
      <color rgb="FFFFFFD9"/>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368940</xdr:colOff>
      <xdr:row>1</xdr:row>
      <xdr:rowOff>201731</xdr:rowOff>
    </xdr:from>
    <xdr:to>
      <xdr:col>3</xdr:col>
      <xdr:colOff>1504791</xdr:colOff>
      <xdr:row>32</xdr:row>
      <xdr:rowOff>6376</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685880" y="512321"/>
          <a:ext cx="8920764" cy="5077759"/>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別紙３</a:t>
            </a:r>
            <a:r>
              <a:rPr kumimoji="1" lang="en-US" altLang="ja-JP" sz="1000" b="1">
                <a:solidFill>
                  <a:sysClr val="windowText" lastClr="000000"/>
                </a:solidFill>
                <a:latin typeface="+mj-ea"/>
                <a:ea typeface="+mj-ea"/>
              </a:rPr>
              <a:t>-</a:t>
            </a:r>
            <a:r>
              <a:rPr kumimoji="1" lang="ja-JP" altLang="en-US" sz="1000" b="1">
                <a:solidFill>
                  <a:sysClr val="windowText" lastClr="000000"/>
                </a:solidFill>
                <a:latin typeface="+mj-ea"/>
                <a:ea typeface="+mj-ea"/>
              </a:rPr>
              <a:t>１</a:t>
            </a:r>
            <a:endParaRPr kumimoji="1" lang="en-US" altLang="ja-JP" sz="1000" b="1">
              <a:solidFill>
                <a:sysClr val="windowText" lastClr="000000"/>
              </a:solidFill>
              <a:latin typeface="+mj-ea"/>
              <a:ea typeface="+mj-ea"/>
            </a:endParaRP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様式７号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15180"/>
            <a:ext cx="3156959" cy="979947"/>
            <a:chOff x="1453141" y="7643294"/>
            <a:chExt cx="3156959" cy="979947"/>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別紙３</a:t>
              </a:r>
              <a:endParaRPr kumimoji="1" lang="en-US" altLang="ja-JP" sz="1000" b="1">
                <a:solidFill>
                  <a:sysClr val="windowText" lastClr="000000"/>
                </a:solidFill>
                <a:latin typeface="+mj-ea"/>
                <a:ea typeface="+mj-ea"/>
              </a:endParaRP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43294"/>
              <a:ext cx="2880733"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様式６号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414703" y="5092507"/>
            <a:ext cx="4811723" cy="1973816"/>
            <a:chOff x="5414703" y="5092507"/>
            <a:chExt cx="4811723" cy="1973816"/>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57126" y="5103464"/>
              <a:ext cx="4769300" cy="1962859"/>
              <a:chOff x="5457126" y="5103464"/>
              <a:chExt cx="47693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63926" y="5103464"/>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602547" y="5540219"/>
                <a:ext cx="1440000" cy="69083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95620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R8.2</a:t>
                </a:r>
                <a:r>
                  <a:rPr kumimoji="1" lang="ja-JP" altLang="en-US" sz="1000" b="1">
                    <a:solidFill>
                      <a:sysClr val="windowText" lastClr="000000"/>
                    </a:solidFill>
                    <a:latin typeface="+mj-ea"/>
                    <a:ea typeface="+mj-ea"/>
                  </a:rPr>
                  <a:t>月～〇月　支払い</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38373" y="631285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253181"/>
                <a:ext cx="1440000" cy="70912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endParaRPr kumimoji="1" lang="ja-JP" altLang="en-US" sz="1000" b="1">
                  <a:solidFill>
                    <a:sysClr val="windowText" lastClr="000000"/>
                  </a:solidFill>
                  <a:latin typeface="+mj-ea"/>
                  <a:ea typeface="+mj-ea"/>
                </a:endParaRP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02294" y="565640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414703" y="5092507"/>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1" y="5783745"/>
            <a:ext cx="732541" cy="8240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別紙３</a:t>
            </a: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607746"/>
            <a:ext cx="732540" cy="1090524"/>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75879" y="7120361"/>
            <a:ext cx="4801004" cy="1967250"/>
            <a:chOff x="5375879" y="5062961"/>
            <a:chExt cx="4801004" cy="196725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64664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996646"/>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R8.2</a:t>
                </a:r>
                <a:r>
                  <a:rPr kumimoji="1" lang="ja-JP" altLang="en-US" sz="1000" b="1">
                    <a:solidFill>
                      <a:sysClr val="windowText" lastClr="000000"/>
                    </a:solidFill>
                    <a:latin typeface="+mj-ea"/>
                    <a:ea typeface="+mj-ea"/>
                  </a:rPr>
                  <a:t>月～〇月　支払い</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44844" y="641331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612838" y="6340338"/>
                <a:ext cx="1440000" cy="62292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endParaRPr kumimoji="1" lang="ja-JP" altLang="en-US" sz="1000" b="1">
                  <a:solidFill>
                    <a:sysClr val="windowText" lastClr="000000"/>
                  </a:solidFill>
                  <a:latin typeface="+mj-ea"/>
                  <a:ea typeface="+mj-ea"/>
                </a:endParaRP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739133"/>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75879" y="5062961"/>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1" y="5783745"/>
            <a:ext cx="752357" cy="292545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70"/>
            <a:ext cx="752356" cy="1010929"/>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B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D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D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D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D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D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D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D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D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D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D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D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D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D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D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D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D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D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D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D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D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D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D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D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D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D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D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D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D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7466F5E8-6415-46B9-ACD8-440C46981F3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3D21A33-9C7D-44D5-AF7C-0A10B92390A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447714D4-292E-407C-8AD4-4D9152EC57B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98165078-1EFB-4C57-A86D-FB5042DD7F3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EE0DFFDB-DAF6-480D-A4E7-DE3796D86B9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EF39ECD3-AEFF-4A9A-8431-E18C67AAD00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D94BED8A-09EF-42D0-8B14-F6C6012E2D0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F8EA18B3-C92A-4EDB-91DE-0BACC2F0603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DC324F4A-B9D6-4440-BFBC-224702E35CC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5B8F0C8E-1DB4-4F2C-8F36-07C07F13C79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4BB92A01-3996-45AF-9368-AA348D6CBBC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66705A3A-6EEE-49A2-AB1A-8A5ED17B28D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5FCF99AC-7609-4FF0-9120-402A1AD2647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5AD9B6B0-CD7B-4616-9E56-576315A6881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8C6E0070-B51D-4CC5-971B-94D0EA05A2A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5159BFB9-7AB3-4A38-BC60-3E664673735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C7CE48B3-0CDD-4A68-B014-7FBBCF0AE14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EC881F38-D4A6-4E05-A41B-4C0EEA177CE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E5368C8B-371D-454C-8198-18E1734FF37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9BF8E615-1E82-4497-934F-6D832481B64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91FCCBA1-BEE3-4672-878F-D961D3B253E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70012F8E-6DE6-4CE8-B73F-88566BFEEBB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5107B8BC-2BC5-4A65-84D4-FFDA317625D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14CD5048-7E99-49A0-864E-91E9211DBE3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89804D84-C0A0-4236-9533-35A1350BC94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F3E0BAEC-DBAE-41A0-9AB4-4C5A41A40E1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35C1494A-A29F-4DB6-AAFD-229B3A78DAB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F9A66D1E-9C18-4586-9FB0-F962A0F87AB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0" name="Line 1">
          <a:extLst>
            <a:ext uri="{FF2B5EF4-FFF2-40B4-BE49-F238E27FC236}">
              <a16:creationId xmlns:a16="http://schemas.microsoft.com/office/drawing/2014/main" id="{42F888D7-372B-4DE6-AB8B-C81748CCD8D7}"/>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1" name="Line 3">
          <a:extLst>
            <a:ext uri="{FF2B5EF4-FFF2-40B4-BE49-F238E27FC236}">
              <a16:creationId xmlns:a16="http://schemas.microsoft.com/office/drawing/2014/main" id="{E6DE8DA4-CAC1-48D0-A405-683C442495E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4">
          <a:extLst>
            <a:ext uri="{FF2B5EF4-FFF2-40B4-BE49-F238E27FC236}">
              <a16:creationId xmlns:a16="http://schemas.microsoft.com/office/drawing/2014/main" id="{1143E085-875B-4C5B-8A31-E8ED5A610787}"/>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5">
          <a:extLst>
            <a:ext uri="{FF2B5EF4-FFF2-40B4-BE49-F238E27FC236}">
              <a16:creationId xmlns:a16="http://schemas.microsoft.com/office/drawing/2014/main" id="{27CA303F-0E3D-4FB3-9ABC-C291CF3A4ED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8">
          <a:extLst>
            <a:ext uri="{FF2B5EF4-FFF2-40B4-BE49-F238E27FC236}">
              <a16:creationId xmlns:a16="http://schemas.microsoft.com/office/drawing/2014/main" id="{2DDD6D88-E8E0-4746-8E77-30FA44BC7BA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9">
          <a:extLst>
            <a:ext uri="{FF2B5EF4-FFF2-40B4-BE49-F238E27FC236}">
              <a16:creationId xmlns:a16="http://schemas.microsoft.com/office/drawing/2014/main" id="{4CBAF5B1-D566-497E-A93D-D1271279303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10">
          <a:extLst>
            <a:ext uri="{FF2B5EF4-FFF2-40B4-BE49-F238E27FC236}">
              <a16:creationId xmlns:a16="http://schemas.microsoft.com/office/drawing/2014/main" id="{8D721A45-BEB5-48B0-B134-8C834E30FDB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11">
          <a:extLst>
            <a:ext uri="{FF2B5EF4-FFF2-40B4-BE49-F238E27FC236}">
              <a16:creationId xmlns:a16="http://schemas.microsoft.com/office/drawing/2014/main" id="{BC95815F-AA9B-44D1-86F7-A6D5EB47617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2">
          <a:extLst>
            <a:ext uri="{FF2B5EF4-FFF2-40B4-BE49-F238E27FC236}">
              <a16:creationId xmlns:a16="http://schemas.microsoft.com/office/drawing/2014/main" id="{614423EF-1E9D-498F-BB33-5BD606B0B66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3">
          <a:extLst>
            <a:ext uri="{FF2B5EF4-FFF2-40B4-BE49-F238E27FC236}">
              <a16:creationId xmlns:a16="http://schemas.microsoft.com/office/drawing/2014/main" id="{2212048C-42A4-4398-AD95-2FCC3603873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4">
          <a:extLst>
            <a:ext uri="{FF2B5EF4-FFF2-40B4-BE49-F238E27FC236}">
              <a16:creationId xmlns:a16="http://schemas.microsoft.com/office/drawing/2014/main" id="{633FBEED-01E7-4632-A6AD-026A812A4ED9}"/>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5">
          <a:extLst>
            <a:ext uri="{FF2B5EF4-FFF2-40B4-BE49-F238E27FC236}">
              <a16:creationId xmlns:a16="http://schemas.microsoft.com/office/drawing/2014/main" id="{AFC23504-5255-4F36-9744-B223F2FA30FA}"/>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6">
          <a:extLst>
            <a:ext uri="{FF2B5EF4-FFF2-40B4-BE49-F238E27FC236}">
              <a16:creationId xmlns:a16="http://schemas.microsoft.com/office/drawing/2014/main" id="{62255AEA-ED0F-4A01-9B05-7B66785DCC4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7">
          <a:extLst>
            <a:ext uri="{FF2B5EF4-FFF2-40B4-BE49-F238E27FC236}">
              <a16:creationId xmlns:a16="http://schemas.microsoft.com/office/drawing/2014/main" id="{3819D483-4222-4D85-8EDE-AE2C60E2B24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8">
          <a:extLst>
            <a:ext uri="{FF2B5EF4-FFF2-40B4-BE49-F238E27FC236}">
              <a16:creationId xmlns:a16="http://schemas.microsoft.com/office/drawing/2014/main" id="{AC092DE7-C447-427E-B7C1-ADE0B215CCC3}"/>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9">
          <a:extLst>
            <a:ext uri="{FF2B5EF4-FFF2-40B4-BE49-F238E27FC236}">
              <a16:creationId xmlns:a16="http://schemas.microsoft.com/office/drawing/2014/main" id="{6D528167-A599-4F4B-B8D8-6146FDA81EA8}"/>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20">
          <a:extLst>
            <a:ext uri="{FF2B5EF4-FFF2-40B4-BE49-F238E27FC236}">
              <a16:creationId xmlns:a16="http://schemas.microsoft.com/office/drawing/2014/main" id="{557E305F-A014-42B2-B750-0CAD3C2B3362}"/>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21">
          <a:extLst>
            <a:ext uri="{FF2B5EF4-FFF2-40B4-BE49-F238E27FC236}">
              <a16:creationId xmlns:a16="http://schemas.microsoft.com/office/drawing/2014/main" id="{B0CFB740-43B0-44ED-9C69-02465F704F3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2">
          <a:extLst>
            <a:ext uri="{FF2B5EF4-FFF2-40B4-BE49-F238E27FC236}">
              <a16:creationId xmlns:a16="http://schemas.microsoft.com/office/drawing/2014/main" id="{6B93400B-A417-4464-9CF0-EE28F72AFA6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3">
          <a:extLst>
            <a:ext uri="{FF2B5EF4-FFF2-40B4-BE49-F238E27FC236}">
              <a16:creationId xmlns:a16="http://schemas.microsoft.com/office/drawing/2014/main" id="{11390944-FD26-4C29-A14D-2E0C1D983D5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4">
          <a:extLst>
            <a:ext uri="{FF2B5EF4-FFF2-40B4-BE49-F238E27FC236}">
              <a16:creationId xmlns:a16="http://schemas.microsoft.com/office/drawing/2014/main" id="{F2028500-7F19-43DE-9812-2BE94A7DDA7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5">
          <a:extLst>
            <a:ext uri="{FF2B5EF4-FFF2-40B4-BE49-F238E27FC236}">
              <a16:creationId xmlns:a16="http://schemas.microsoft.com/office/drawing/2014/main" id="{A843DECC-A0B7-411B-8DAF-CB47372E757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6">
          <a:extLst>
            <a:ext uri="{FF2B5EF4-FFF2-40B4-BE49-F238E27FC236}">
              <a16:creationId xmlns:a16="http://schemas.microsoft.com/office/drawing/2014/main" id="{5B57A9A5-0AB0-4C88-B62C-FBEDDA03D7A5}"/>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7">
          <a:extLst>
            <a:ext uri="{FF2B5EF4-FFF2-40B4-BE49-F238E27FC236}">
              <a16:creationId xmlns:a16="http://schemas.microsoft.com/office/drawing/2014/main" id="{6D510C59-7EE9-4D9B-A15B-B0532AE69BD9}"/>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8">
          <a:extLst>
            <a:ext uri="{FF2B5EF4-FFF2-40B4-BE49-F238E27FC236}">
              <a16:creationId xmlns:a16="http://schemas.microsoft.com/office/drawing/2014/main" id="{A6144CE7-8854-440B-A0E9-C0D88DD8F39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9">
          <a:extLst>
            <a:ext uri="{FF2B5EF4-FFF2-40B4-BE49-F238E27FC236}">
              <a16:creationId xmlns:a16="http://schemas.microsoft.com/office/drawing/2014/main" id="{6182BE4F-AB13-4F94-ADDE-EA71C7C8477E}"/>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30">
          <a:extLst>
            <a:ext uri="{FF2B5EF4-FFF2-40B4-BE49-F238E27FC236}">
              <a16:creationId xmlns:a16="http://schemas.microsoft.com/office/drawing/2014/main" id="{9905A83E-139A-42A5-A5B6-8E81C35650E1}"/>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31">
          <a:extLst>
            <a:ext uri="{FF2B5EF4-FFF2-40B4-BE49-F238E27FC236}">
              <a16:creationId xmlns:a16="http://schemas.microsoft.com/office/drawing/2014/main" id="{1571C6C4-C5AB-46CD-AA34-295B4BA5C03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8" name="Line 1">
          <a:extLst>
            <a:ext uri="{FF2B5EF4-FFF2-40B4-BE49-F238E27FC236}">
              <a16:creationId xmlns:a16="http://schemas.microsoft.com/office/drawing/2014/main" id="{7113DC08-D24C-4103-B40E-5A80B0E90AE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9" name="Line 3">
          <a:extLst>
            <a:ext uri="{FF2B5EF4-FFF2-40B4-BE49-F238E27FC236}">
              <a16:creationId xmlns:a16="http://schemas.microsoft.com/office/drawing/2014/main" id="{26B86877-D66D-4E6B-A811-FD721454C06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0" name="Line 4">
          <a:extLst>
            <a:ext uri="{FF2B5EF4-FFF2-40B4-BE49-F238E27FC236}">
              <a16:creationId xmlns:a16="http://schemas.microsoft.com/office/drawing/2014/main" id="{D306ACFA-C1EB-44DB-B1E1-A01A45B507A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1" name="Line 5">
          <a:extLst>
            <a:ext uri="{FF2B5EF4-FFF2-40B4-BE49-F238E27FC236}">
              <a16:creationId xmlns:a16="http://schemas.microsoft.com/office/drawing/2014/main" id="{EE2F5284-879A-4758-9309-EF4EBAE2CBB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8">
          <a:extLst>
            <a:ext uri="{FF2B5EF4-FFF2-40B4-BE49-F238E27FC236}">
              <a16:creationId xmlns:a16="http://schemas.microsoft.com/office/drawing/2014/main" id="{26CBCB0D-7FCF-49D4-A415-E163CB7BE25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9">
          <a:extLst>
            <a:ext uri="{FF2B5EF4-FFF2-40B4-BE49-F238E27FC236}">
              <a16:creationId xmlns:a16="http://schemas.microsoft.com/office/drawing/2014/main" id="{3510BDFC-0BFD-44CF-9911-DA267E05B7F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10">
          <a:extLst>
            <a:ext uri="{FF2B5EF4-FFF2-40B4-BE49-F238E27FC236}">
              <a16:creationId xmlns:a16="http://schemas.microsoft.com/office/drawing/2014/main" id="{119DB89D-9332-435B-B193-C121E2C070A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11">
          <a:extLst>
            <a:ext uri="{FF2B5EF4-FFF2-40B4-BE49-F238E27FC236}">
              <a16:creationId xmlns:a16="http://schemas.microsoft.com/office/drawing/2014/main" id="{83BFA963-F047-4F02-BD83-C8176A950B2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12">
          <a:extLst>
            <a:ext uri="{FF2B5EF4-FFF2-40B4-BE49-F238E27FC236}">
              <a16:creationId xmlns:a16="http://schemas.microsoft.com/office/drawing/2014/main" id="{40BE6B4B-B9D4-477C-86FA-6B98B5CE2A7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13">
          <a:extLst>
            <a:ext uri="{FF2B5EF4-FFF2-40B4-BE49-F238E27FC236}">
              <a16:creationId xmlns:a16="http://schemas.microsoft.com/office/drawing/2014/main" id="{98B73105-2CBF-447D-9489-5DE8D56E861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4">
          <a:extLst>
            <a:ext uri="{FF2B5EF4-FFF2-40B4-BE49-F238E27FC236}">
              <a16:creationId xmlns:a16="http://schemas.microsoft.com/office/drawing/2014/main" id="{4FAE9891-1617-4D51-8721-4528C4C3FB8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5">
          <a:extLst>
            <a:ext uri="{FF2B5EF4-FFF2-40B4-BE49-F238E27FC236}">
              <a16:creationId xmlns:a16="http://schemas.microsoft.com/office/drawing/2014/main" id="{6A7E4799-2B32-446B-9EBE-13169D76240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6">
          <a:extLst>
            <a:ext uri="{FF2B5EF4-FFF2-40B4-BE49-F238E27FC236}">
              <a16:creationId xmlns:a16="http://schemas.microsoft.com/office/drawing/2014/main" id="{DD911FF1-54FA-4733-A924-B7422163C36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7">
          <a:extLst>
            <a:ext uri="{FF2B5EF4-FFF2-40B4-BE49-F238E27FC236}">
              <a16:creationId xmlns:a16="http://schemas.microsoft.com/office/drawing/2014/main" id="{7F5413D0-1B4F-4E5D-93AF-78ACFCA8F7C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8">
          <a:extLst>
            <a:ext uri="{FF2B5EF4-FFF2-40B4-BE49-F238E27FC236}">
              <a16:creationId xmlns:a16="http://schemas.microsoft.com/office/drawing/2014/main" id="{5A202AD3-A8E9-4647-AF82-123931ABA5C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9">
          <a:extLst>
            <a:ext uri="{FF2B5EF4-FFF2-40B4-BE49-F238E27FC236}">
              <a16:creationId xmlns:a16="http://schemas.microsoft.com/office/drawing/2014/main" id="{6F8506F5-C469-47D7-BD7D-517F90ECFE5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20">
          <a:extLst>
            <a:ext uri="{FF2B5EF4-FFF2-40B4-BE49-F238E27FC236}">
              <a16:creationId xmlns:a16="http://schemas.microsoft.com/office/drawing/2014/main" id="{5E64E7D7-DB3A-4CC0-B56E-2FC3A84ED01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21">
          <a:extLst>
            <a:ext uri="{FF2B5EF4-FFF2-40B4-BE49-F238E27FC236}">
              <a16:creationId xmlns:a16="http://schemas.microsoft.com/office/drawing/2014/main" id="{CD272A99-CA81-4020-BC35-7205F04AADB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22">
          <a:extLst>
            <a:ext uri="{FF2B5EF4-FFF2-40B4-BE49-F238E27FC236}">
              <a16:creationId xmlns:a16="http://schemas.microsoft.com/office/drawing/2014/main" id="{C39505A4-B47A-48DD-BECD-C2207AB7931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23">
          <a:extLst>
            <a:ext uri="{FF2B5EF4-FFF2-40B4-BE49-F238E27FC236}">
              <a16:creationId xmlns:a16="http://schemas.microsoft.com/office/drawing/2014/main" id="{A1CF11C1-8F3F-4C1B-9FDC-34448FB23A4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4">
          <a:extLst>
            <a:ext uri="{FF2B5EF4-FFF2-40B4-BE49-F238E27FC236}">
              <a16:creationId xmlns:a16="http://schemas.microsoft.com/office/drawing/2014/main" id="{640BB460-D720-49B9-B2BF-E8D0B266846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5">
          <a:extLst>
            <a:ext uri="{FF2B5EF4-FFF2-40B4-BE49-F238E27FC236}">
              <a16:creationId xmlns:a16="http://schemas.microsoft.com/office/drawing/2014/main" id="{4F0683A1-B987-40CF-99AF-F477BEFDAC1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6">
          <a:extLst>
            <a:ext uri="{FF2B5EF4-FFF2-40B4-BE49-F238E27FC236}">
              <a16:creationId xmlns:a16="http://schemas.microsoft.com/office/drawing/2014/main" id="{8A8FAAEF-FF4A-459F-B57B-E6995327D80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7">
          <a:extLst>
            <a:ext uri="{FF2B5EF4-FFF2-40B4-BE49-F238E27FC236}">
              <a16:creationId xmlns:a16="http://schemas.microsoft.com/office/drawing/2014/main" id="{79523F65-3B52-4CD9-A499-4287ED517C2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8">
          <a:extLst>
            <a:ext uri="{FF2B5EF4-FFF2-40B4-BE49-F238E27FC236}">
              <a16:creationId xmlns:a16="http://schemas.microsoft.com/office/drawing/2014/main" id="{5956C713-5AD3-4E65-87EF-F5454F467F3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9">
          <a:extLst>
            <a:ext uri="{FF2B5EF4-FFF2-40B4-BE49-F238E27FC236}">
              <a16:creationId xmlns:a16="http://schemas.microsoft.com/office/drawing/2014/main" id="{44816D20-15C5-4353-BCBF-76DEEC04392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30">
          <a:extLst>
            <a:ext uri="{FF2B5EF4-FFF2-40B4-BE49-F238E27FC236}">
              <a16:creationId xmlns:a16="http://schemas.microsoft.com/office/drawing/2014/main" id="{7374151E-C077-44D5-8998-02E42635735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31">
          <a:extLst>
            <a:ext uri="{FF2B5EF4-FFF2-40B4-BE49-F238E27FC236}">
              <a16:creationId xmlns:a16="http://schemas.microsoft.com/office/drawing/2014/main" id="{FA33C6D5-98AC-4DFD-B7C8-BC111998ABF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1">
          <a:extLst>
            <a:ext uri="{FF2B5EF4-FFF2-40B4-BE49-F238E27FC236}">
              <a16:creationId xmlns:a16="http://schemas.microsoft.com/office/drawing/2014/main" id="{0C39FC3A-F834-4B6D-9D42-BAFB777D5BF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3">
          <a:extLst>
            <a:ext uri="{FF2B5EF4-FFF2-40B4-BE49-F238E27FC236}">
              <a16:creationId xmlns:a16="http://schemas.microsoft.com/office/drawing/2014/main" id="{55EBA6B8-1A1E-4C54-A698-0EBBEB4E4E3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4">
          <a:extLst>
            <a:ext uri="{FF2B5EF4-FFF2-40B4-BE49-F238E27FC236}">
              <a16:creationId xmlns:a16="http://schemas.microsoft.com/office/drawing/2014/main" id="{1282CB03-7C68-4776-9C7C-5488A934699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5">
          <a:extLst>
            <a:ext uri="{FF2B5EF4-FFF2-40B4-BE49-F238E27FC236}">
              <a16:creationId xmlns:a16="http://schemas.microsoft.com/office/drawing/2014/main" id="{88A2358B-B542-4208-AEE5-57D7A318799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8">
          <a:extLst>
            <a:ext uri="{FF2B5EF4-FFF2-40B4-BE49-F238E27FC236}">
              <a16:creationId xmlns:a16="http://schemas.microsoft.com/office/drawing/2014/main" id="{A92FC7A3-DF28-469A-8636-8A7BFC0023C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9">
          <a:extLst>
            <a:ext uri="{FF2B5EF4-FFF2-40B4-BE49-F238E27FC236}">
              <a16:creationId xmlns:a16="http://schemas.microsoft.com/office/drawing/2014/main" id="{5695B11B-BFFC-4208-8873-CCC67C500E9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0">
          <a:extLst>
            <a:ext uri="{FF2B5EF4-FFF2-40B4-BE49-F238E27FC236}">
              <a16:creationId xmlns:a16="http://schemas.microsoft.com/office/drawing/2014/main" id="{AE27F25F-3649-43BD-9979-741A414EDE4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11">
          <a:extLst>
            <a:ext uri="{FF2B5EF4-FFF2-40B4-BE49-F238E27FC236}">
              <a16:creationId xmlns:a16="http://schemas.microsoft.com/office/drawing/2014/main" id="{2269561D-96CA-48B9-8490-DB3659BD284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12">
          <a:extLst>
            <a:ext uri="{FF2B5EF4-FFF2-40B4-BE49-F238E27FC236}">
              <a16:creationId xmlns:a16="http://schemas.microsoft.com/office/drawing/2014/main" id="{E3F54091-012B-4F77-BE39-05A484A1FD2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13">
          <a:extLst>
            <a:ext uri="{FF2B5EF4-FFF2-40B4-BE49-F238E27FC236}">
              <a16:creationId xmlns:a16="http://schemas.microsoft.com/office/drawing/2014/main" id="{70DEA664-EAED-4EE6-9031-5DE939FA04F2}"/>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4">
          <a:extLst>
            <a:ext uri="{FF2B5EF4-FFF2-40B4-BE49-F238E27FC236}">
              <a16:creationId xmlns:a16="http://schemas.microsoft.com/office/drawing/2014/main" id="{366425D4-C272-4322-9270-C6B456BCA21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5">
          <a:extLst>
            <a:ext uri="{FF2B5EF4-FFF2-40B4-BE49-F238E27FC236}">
              <a16:creationId xmlns:a16="http://schemas.microsoft.com/office/drawing/2014/main" id="{C4911428-A1FC-401E-BF65-28C7EA1C5920}"/>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6">
          <a:extLst>
            <a:ext uri="{FF2B5EF4-FFF2-40B4-BE49-F238E27FC236}">
              <a16:creationId xmlns:a16="http://schemas.microsoft.com/office/drawing/2014/main" id="{91565C60-C0CB-45AA-AF4F-A3AB347DC5C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7">
          <a:extLst>
            <a:ext uri="{FF2B5EF4-FFF2-40B4-BE49-F238E27FC236}">
              <a16:creationId xmlns:a16="http://schemas.microsoft.com/office/drawing/2014/main" id="{53746231-1E9B-4339-AC52-ED8319FC15EF}"/>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8">
          <a:extLst>
            <a:ext uri="{FF2B5EF4-FFF2-40B4-BE49-F238E27FC236}">
              <a16:creationId xmlns:a16="http://schemas.microsoft.com/office/drawing/2014/main" id="{5FC90C04-03F8-45A1-BB1C-CE3F05EC1D5B}"/>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9">
          <a:extLst>
            <a:ext uri="{FF2B5EF4-FFF2-40B4-BE49-F238E27FC236}">
              <a16:creationId xmlns:a16="http://schemas.microsoft.com/office/drawing/2014/main" id="{8956145A-31BF-45DA-8868-12AE50CB292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20">
          <a:extLst>
            <a:ext uri="{FF2B5EF4-FFF2-40B4-BE49-F238E27FC236}">
              <a16:creationId xmlns:a16="http://schemas.microsoft.com/office/drawing/2014/main" id="{5C160BE2-DFCB-4CE3-9225-80029D36D98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21">
          <a:extLst>
            <a:ext uri="{FF2B5EF4-FFF2-40B4-BE49-F238E27FC236}">
              <a16:creationId xmlns:a16="http://schemas.microsoft.com/office/drawing/2014/main" id="{59C67F2A-7F80-4465-9BA9-737F4089E19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22">
          <a:extLst>
            <a:ext uri="{FF2B5EF4-FFF2-40B4-BE49-F238E27FC236}">
              <a16:creationId xmlns:a16="http://schemas.microsoft.com/office/drawing/2014/main" id="{A9DB5AD5-3CAA-47E7-8AC7-ADCBF12762F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23">
          <a:extLst>
            <a:ext uri="{FF2B5EF4-FFF2-40B4-BE49-F238E27FC236}">
              <a16:creationId xmlns:a16="http://schemas.microsoft.com/office/drawing/2014/main" id="{3BBB5694-5936-44A4-ACDA-167E3C87DE72}"/>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4">
          <a:extLst>
            <a:ext uri="{FF2B5EF4-FFF2-40B4-BE49-F238E27FC236}">
              <a16:creationId xmlns:a16="http://schemas.microsoft.com/office/drawing/2014/main" id="{2E360252-9E18-4148-BAE4-D85F9CEB015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5">
          <a:extLst>
            <a:ext uri="{FF2B5EF4-FFF2-40B4-BE49-F238E27FC236}">
              <a16:creationId xmlns:a16="http://schemas.microsoft.com/office/drawing/2014/main" id="{81263D34-1ED2-49A7-9C30-61BD478B5E23}"/>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6">
          <a:extLst>
            <a:ext uri="{FF2B5EF4-FFF2-40B4-BE49-F238E27FC236}">
              <a16:creationId xmlns:a16="http://schemas.microsoft.com/office/drawing/2014/main" id="{77693DF5-1180-4110-BA12-21DD835F1FA8}"/>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7">
          <a:extLst>
            <a:ext uri="{FF2B5EF4-FFF2-40B4-BE49-F238E27FC236}">
              <a16:creationId xmlns:a16="http://schemas.microsoft.com/office/drawing/2014/main" id="{698D6D29-48B8-4232-8DCB-CDC91E432091}"/>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8">
          <a:extLst>
            <a:ext uri="{FF2B5EF4-FFF2-40B4-BE49-F238E27FC236}">
              <a16:creationId xmlns:a16="http://schemas.microsoft.com/office/drawing/2014/main" id="{E515BF73-80EF-4C67-975C-86DC6FF804D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9">
          <a:extLst>
            <a:ext uri="{FF2B5EF4-FFF2-40B4-BE49-F238E27FC236}">
              <a16:creationId xmlns:a16="http://schemas.microsoft.com/office/drawing/2014/main" id="{6EE2DE11-2368-4629-97A7-17F60EE22599}"/>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30">
          <a:extLst>
            <a:ext uri="{FF2B5EF4-FFF2-40B4-BE49-F238E27FC236}">
              <a16:creationId xmlns:a16="http://schemas.microsoft.com/office/drawing/2014/main" id="{F543CD50-6DB5-42D1-97A2-7BF73B0B2CC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31">
          <a:extLst>
            <a:ext uri="{FF2B5EF4-FFF2-40B4-BE49-F238E27FC236}">
              <a16:creationId xmlns:a16="http://schemas.microsoft.com/office/drawing/2014/main" id="{800BF8B7-6491-47DD-A0FA-3FB7F0190E0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352426</xdr:colOff>
      <xdr:row>6</xdr:row>
      <xdr:rowOff>199390</xdr:rowOff>
    </xdr:from>
    <xdr:to>
      <xdr:col>10</xdr:col>
      <xdr:colOff>237491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451986" y="1805940"/>
          <a:ext cx="1674495" cy="60579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355600</xdr:colOff>
      <xdr:row>12</xdr:row>
      <xdr:rowOff>1</xdr:rowOff>
    </xdr:from>
    <xdr:to>
      <xdr:col>10</xdr:col>
      <xdr:colOff>476250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455160" y="3108961"/>
          <a:ext cx="1903730" cy="1093470"/>
        </a:xfrm>
        <a:prstGeom prst="wedgeRectCallout">
          <a:avLst>
            <a:gd name="adj1" fmla="val -108990"/>
            <a:gd name="adj2" fmla="val 3180"/>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342901</xdr:colOff>
      <xdr:row>25</xdr:row>
      <xdr:rowOff>24765</xdr:rowOff>
    </xdr:from>
    <xdr:to>
      <xdr:col>10</xdr:col>
      <xdr:colOff>281941</xdr:colOff>
      <xdr:row>26</xdr:row>
      <xdr:rowOff>243840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442461" y="640270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a:t>
          </a:r>
          <a:endParaRPr lang="en-US" altLang="ja-JP" sz="900" b="1">
            <a:effectLst/>
          </a:endParaRPr>
        </a:p>
        <a:p>
          <a:pPr algn="ctr" rtl="0"/>
          <a:r>
            <a:rPr lang="ja-JP" altLang="en-US" sz="900" b="1">
              <a:effectLst/>
            </a:rPr>
            <a:t>必ず選択してください</a:t>
          </a:r>
          <a:endParaRPr lang="ja-JP" altLang="ja-JP" sz="900" b="1">
            <a:effectLst/>
          </a:endParaRPr>
        </a:p>
      </xdr:txBody>
    </xdr:sp>
    <xdr:clientData fPrintsWithSheet="0"/>
  </xdr:twoCellAnchor>
  <xdr:twoCellAnchor>
    <xdr:from>
      <xdr:col>23</xdr:col>
      <xdr:colOff>322356</xdr:colOff>
      <xdr:row>35</xdr:row>
      <xdr:rowOff>3549</xdr:rowOff>
    </xdr:from>
    <xdr:to>
      <xdr:col>25</xdr:col>
      <xdr:colOff>479105</xdr:colOff>
      <xdr:row>41</xdr:row>
      <xdr:rowOff>23437</xdr:rowOff>
    </xdr:to>
    <xdr:sp macro="" textlink="">
      <xdr:nvSpPr>
        <xdr:cNvPr id="5" name="四角形吹き出し 3">
          <a:extLst>
            <a:ext uri="{FF2B5EF4-FFF2-40B4-BE49-F238E27FC236}">
              <a16:creationId xmlns:a16="http://schemas.microsoft.com/office/drawing/2014/main" id="{00000000-0008-0000-0200-000005000000}"/>
            </a:ext>
          </a:extLst>
        </xdr:cNvPr>
        <xdr:cNvSpPr/>
      </xdr:nvSpPr>
      <xdr:spPr>
        <a:xfrm>
          <a:off x="7807885" y="8576049"/>
          <a:ext cx="1658338" cy="1017212"/>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chemeClr val="bg1"/>
              </a:solidFill>
              <a:effectLst/>
            </a:rPr>
            <a:t>記入例を入力しております。過不足等ある場合は、</a:t>
          </a:r>
          <a:r>
            <a:rPr lang="ja-JP" altLang="en-US" sz="900" b="1">
              <a:solidFill>
                <a:srgbClr val="FFFF00"/>
              </a:solidFill>
              <a:effectLst/>
            </a:rPr>
            <a:t>各自入力のうえ上書き保存</a:t>
          </a:r>
          <a:r>
            <a:rPr lang="ja-JP" altLang="en-US" sz="900" b="1">
              <a:solidFill>
                <a:schemeClr val="bg1"/>
              </a:solidFill>
              <a:effectLst/>
            </a:rPr>
            <a:t>してください</a:t>
          </a:r>
          <a:endParaRPr lang="ja-JP" altLang="ja-JP" sz="900" b="1">
            <a:solidFill>
              <a:schemeClr val="bg1"/>
            </a:solidFill>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8</xdr:col>
      <xdr:colOff>2919</xdr:colOff>
      <xdr:row>12</xdr:row>
      <xdr:rowOff>194572</xdr:rowOff>
    </xdr:from>
    <xdr:to>
      <xdr:col>11</xdr:col>
      <xdr:colOff>943744</xdr:colOff>
      <xdr:row>14</xdr:row>
      <xdr:rowOff>214168</xdr:rowOff>
    </xdr:to>
    <xdr:sp macro="" textlink="">
      <xdr:nvSpPr>
        <xdr:cNvPr id="3" name="正方形/長方形 2">
          <a:extLst>
            <a:ext uri="{FF2B5EF4-FFF2-40B4-BE49-F238E27FC236}">
              <a16:creationId xmlns:a16="http://schemas.microsoft.com/office/drawing/2014/main" id="{03613278-4AC0-412C-B239-3EF94A7753E4}"/>
            </a:ext>
          </a:extLst>
        </xdr:cNvPr>
        <xdr:cNvSpPr/>
      </xdr:nvSpPr>
      <xdr:spPr>
        <a:xfrm>
          <a:off x="3216019" y="4341122"/>
          <a:ext cx="3537975" cy="64189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助成事業に従事していない月は空欄にしてください</a:t>
          </a:r>
          <a:endParaRPr kumimoji="1" lang="en-US" altLang="ja-JP" sz="1400">
            <a:solidFill>
              <a:srgbClr val="FF0000"/>
            </a:solidFill>
          </a:endParaRPr>
        </a:p>
      </xdr:txBody>
    </xdr:sp>
    <xdr:clientData/>
  </xdr:twoCellAnchor>
  <xdr:twoCellAnchor>
    <xdr:from>
      <xdr:col>7</xdr:col>
      <xdr:colOff>6350</xdr:colOff>
      <xdr:row>10</xdr:row>
      <xdr:rowOff>149225</xdr:rowOff>
    </xdr:from>
    <xdr:to>
      <xdr:col>8</xdr:col>
      <xdr:colOff>2919</xdr:colOff>
      <xdr:row>13</xdr:row>
      <xdr:rowOff>204370</xdr:rowOff>
    </xdr:to>
    <xdr:cxnSp macro="">
      <xdr:nvCxnSpPr>
        <xdr:cNvPr id="4" name="直線矢印コネクタ 3">
          <a:extLst>
            <a:ext uri="{FF2B5EF4-FFF2-40B4-BE49-F238E27FC236}">
              <a16:creationId xmlns:a16="http://schemas.microsoft.com/office/drawing/2014/main" id="{CDE2CBBE-2223-4F23-B8F9-171B7C2E5A61}"/>
            </a:ext>
          </a:extLst>
        </xdr:cNvPr>
        <xdr:cNvCxnSpPr>
          <a:stCxn id="3" idx="1"/>
          <a:endCxn id="5" idx="3"/>
        </xdr:cNvCxnSpPr>
      </xdr:nvCxnSpPr>
      <xdr:spPr>
        <a:xfrm flipH="1" flipV="1">
          <a:off x="2470150" y="3673475"/>
          <a:ext cx="745869" cy="98859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10</xdr:row>
      <xdr:rowOff>0</xdr:rowOff>
    </xdr:from>
    <xdr:to>
      <xdr:col>7</xdr:col>
      <xdr:colOff>6350</xdr:colOff>
      <xdr:row>10</xdr:row>
      <xdr:rowOff>298450</xdr:rowOff>
    </xdr:to>
    <xdr:sp macro="" textlink="">
      <xdr:nvSpPr>
        <xdr:cNvPr id="5" name="正方形/長方形 4">
          <a:extLst>
            <a:ext uri="{FF2B5EF4-FFF2-40B4-BE49-F238E27FC236}">
              <a16:creationId xmlns:a16="http://schemas.microsoft.com/office/drawing/2014/main" id="{17034B24-B600-4F70-AC83-539E546BDDA8}"/>
            </a:ext>
          </a:extLst>
        </xdr:cNvPr>
        <xdr:cNvSpPr/>
      </xdr:nvSpPr>
      <xdr:spPr>
        <a:xfrm>
          <a:off x="1714500" y="3213100"/>
          <a:ext cx="755650" cy="298450"/>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5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5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5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5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5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5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5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5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5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5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5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5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5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5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5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5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5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5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5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5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5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5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5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5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5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5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5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5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5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5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5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5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5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5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5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5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5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5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5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5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5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5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5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5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5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5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5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5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5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5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5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5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5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5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5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5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5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5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5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5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5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5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5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5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5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5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5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5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5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5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5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5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5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5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5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5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5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5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5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5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5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5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5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14</xdr:row>
      <xdr:rowOff>0</xdr:rowOff>
    </xdr:from>
    <xdr:to>
      <xdr:col>13</xdr:col>
      <xdr:colOff>2552700</xdr:colOff>
      <xdr:row>16</xdr:row>
      <xdr:rowOff>15876</xdr:rowOff>
    </xdr:to>
    <xdr:sp macro="" textlink="">
      <xdr:nvSpPr>
        <xdr:cNvPr id="30" name="正方形/長方形 29">
          <a:extLst>
            <a:ext uri="{FF2B5EF4-FFF2-40B4-BE49-F238E27FC236}">
              <a16:creationId xmlns:a16="http://schemas.microsoft.com/office/drawing/2014/main" id="{9609A245-6ADF-448E-AE8B-20A14281F549}"/>
            </a:ext>
          </a:extLst>
        </xdr:cNvPr>
        <xdr:cNvSpPr/>
      </xdr:nvSpPr>
      <xdr:spPr>
        <a:xfrm>
          <a:off x="1158875" y="6096000"/>
          <a:ext cx="10013950" cy="1190626"/>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12</xdr:col>
      <xdr:colOff>676623</xdr:colOff>
      <xdr:row>17</xdr:row>
      <xdr:rowOff>235480</xdr:rowOff>
    </xdr:from>
    <xdr:to>
      <xdr:col>13</xdr:col>
      <xdr:colOff>1598928</xdr:colOff>
      <xdr:row>18</xdr:row>
      <xdr:rowOff>302172</xdr:rowOff>
    </xdr:to>
    <xdr:sp macro="" textlink="">
      <xdr:nvSpPr>
        <xdr:cNvPr id="31" name="正方形/長方形 30">
          <a:extLst>
            <a:ext uri="{FF2B5EF4-FFF2-40B4-BE49-F238E27FC236}">
              <a16:creationId xmlns:a16="http://schemas.microsoft.com/office/drawing/2014/main" id="{6615838B-DFC0-488D-8208-728D176EF243}"/>
            </a:ext>
          </a:extLst>
        </xdr:cNvPr>
        <xdr:cNvSpPr/>
      </xdr:nvSpPr>
      <xdr:spPr>
        <a:xfrm>
          <a:off x="6617048" y="8049155"/>
          <a:ext cx="3554380" cy="64454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助成事業に従事していない日は空欄にしてください</a:t>
          </a:r>
          <a:endParaRPr kumimoji="1" lang="en-US" altLang="ja-JP" sz="1400" b="1">
            <a:solidFill>
              <a:srgbClr val="FF0000"/>
            </a:solidFill>
          </a:endParaRPr>
        </a:p>
      </xdr:txBody>
    </xdr:sp>
    <xdr:clientData/>
  </xdr:twoCellAnchor>
  <xdr:twoCellAnchor>
    <xdr:from>
      <xdr:col>12</xdr:col>
      <xdr:colOff>1211791</xdr:colOff>
      <xdr:row>16</xdr:row>
      <xdr:rowOff>100543</xdr:rowOff>
    </xdr:from>
    <xdr:to>
      <xdr:col>12</xdr:col>
      <xdr:colOff>2448786</xdr:colOff>
      <xdr:row>17</xdr:row>
      <xdr:rowOff>235480</xdr:rowOff>
    </xdr:to>
    <xdr:cxnSp macro="">
      <xdr:nvCxnSpPr>
        <xdr:cNvPr id="32" name="直線矢印コネクタ 31">
          <a:extLst>
            <a:ext uri="{FF2B5EF4-FFF2-40B4-BE49-F238E27FC236}">
              <a16:creationId xmlns:a16="http://schemas.microsoft.com/office/drawing/2014/main" id="{46533BC5-B335-40C7-8A14-258E9F4206F6}"/>
            </a:ext>
          </a:extLst>
        </xdr:cNvPr>
        <xdr:cNvCxnSpPr>
          <a:stCxn id="31" idx="0"/>
        </xdr:cNvCxnSpPr>
      </xdr:nvCxnSpPr>
      <xdr:spPr>
        <a:xfrm flipH="1" flipV="1">
          <a:off x="7152216" y="7333193"/>
          <a:ext cx="1236995" cy="71596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6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6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6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6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6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6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6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6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6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6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6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6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6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6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6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6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6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6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6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6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6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6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6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6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6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6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6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6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6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6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6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6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6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6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6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6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6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6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6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6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6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6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6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6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6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6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6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6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6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6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6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6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6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6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6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6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6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6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6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6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6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6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6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6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6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6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6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6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6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6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6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6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6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6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6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6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6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6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6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6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6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6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6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6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xdr:row>
      <xdr:rowOff>0</xdr:rowOff>
    </xdr:from>
    <xdr:to>
      <xdr:col>13</xdr:col>
      <xdr:colOff>2723848</xdr:colOff>
      <xdr:row>20</xdr:row>
      <xdr:rowOff>571500</xdr:rowOff>
    </xdr:to>
    <xdr:sp macro="" textlink="">
      <xdr:nvSpPr>
        <xdr:cNvPr id="30" name="正方形/長方形 29">
          <a:extLst>
            <a:ext uri="{FF2B5EF4-FFF2-40B4-BE49-F238E27FC236}">
              <a16:creationId xmlns:a16="http://schemas.microsoft.com/office/drawing/2014/main" id="{D9DEA24B-A176-463C-B566-3910E825B125}"/>
            </a:ext>
          </a:extLst>
        </xdr:cNvPr>
        <xdr:cNvSpPr/>
      </xdr:nvSpPr>
      <xdr:spPr>
        <a:xfrm>
          <a:off x="1365250" y="6683375"/>
          <a:ext cx="10042223" cy="3508375"/>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7</xdr:col>
      <xdr:colOff>19050</xdr:colOff>
      <xdr:row>17</xdr:row>
      <xdr:rowOff>0</xdr:rowOff>
    </xdr:from>
    <xdr:to>
      <xdr:col>12</xdr:col>
      <xdr:colOff>2163233</xdr:colOff>
      <xdr:row>18</xdr:row>
      <xdr:rowOff>66162</xdr:rowOff>
    </xdr:to>
    <xdr:sp macro="" textlink="">
      <xdr:nvSpPr>
        <xdr:cNvPr id="31" name="正方形/長方形 30">
          <a:extLst>
            <a:ext uri="{FF2B5EF4-FFF2-40B4-BE49-F238E27FC236}">
              <a16:creationId xmlns:a16="http://schemas.microsoft.com/office/drawing/2014/main" id="{3C1C3DC7-DBE4-493C-B02E-B69C6C94EF86}"/>
            </a:ext>
          </a:extLst>
        </xdr:cNvPr>
        <xdr:cNvSpPr/>
      </xdr:nvSpPr>
      <xdr:spPr>
        <a:xfrm>
          <a:off x="4035425" y="7858125"/>
          <a:ext cx="4319058" cy="65353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助成事業に従事していない日は空欄にしてください</a:t>
          </a:r>
          <a:endParaRPr kumimoji="1" lang="en-US" altLang="ja-JP" sz="14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7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7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7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7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7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7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7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7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7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7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7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7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7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7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7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7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7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7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7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7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7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7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7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7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7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7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7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7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7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7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7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7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7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7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7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7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7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7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7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7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7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7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7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7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7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7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7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7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7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7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7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7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7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7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7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7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13</xdr:col>
      <xdr:colOff>2723847</xdr:colOff>
      <xdr:row>35</xdr:row>
      <xdr:rowOff>21167</xdr:rowOff>
    </xdr:to>
    <xdr:sp macro="" textlink="">
      <xdr:nvSpPr>
        <xdr:cNvPr id="30" name="正方形/長方形 29">
          <a:extLst>
            <a:ext uri="{FF2B5EF4-FFF2-40B4-BE49-F238E27FC236}">
              <a16:creationId xmlns:a16="http://schemas.microsoft.com/office/drawing/2014/main" id="{8DF820B7-8115-45FB-8D99-4B5EC0B8172A}"/>
            </a:ext>
          </a:extLst>
        </xdr:cNvPr>
        <xdr:cNvSpPr/>
      </xdr:nvSpPr>
      <xdr:spPr>
        <a:xfrm>
          <a:off x="1333500" y="2571750"/>
          <a:ext cx="10042222" cy="14118167"/>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7</xdr:col>
      <xdr:colOff>206375</xdr:colOff>
      <xdr:row>12</xdr:row>
      <xdr:rowOff>285750</xdr:rowOff>
    </xdr:from>
    <xdr:to>
      <xdr:col>12</xdr:col>
      <xdr:colOff>2385483</xdr:colOff>
      <xdr:row>13</xdr:row>
      <xdr:rowOff>355088</xdr:rowOff>
    </xdr:to>
    <xdr:sp macro="" textlink="">
      <xdr:nvSpPr>
        <xdr:cNvPr id="31" name="正方形/長方形 30">
          <a:extLst>
            <a:ext uri="{FF2B5EF4-FFF2-40B4-BE49-F238E27FC236}">
              <a16:creationId xmlns:a16="http://schemas.microsoft.com/office/drawing/2014/main" id="{B6604781-4FF6-4B79-A15A-CD913D11EE67}"/>
            </a:ext>
          </a:extLst>
        </xdr:cNvPr>
        <xdr:cNvSpPr/>
      </xdr:nvSpPr>
      <xdr:spPr>
        <a:xfrm>
          <a:off x="4191000" y="5207000"/>
          <a:ext cx="4353983" cy="65671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助成事業に従事していない月は空欄にしてください</a:t>
          </a:r>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10</xdr:row>
      <xdr:rowOff>0</xdr:rowOff>
    </xdr:from>
    <xdr:to>
      <xdr:col>13</xdr:col>
      <xdr:colOff>2723848</xdr:colOff>
      <xdr:row>15</xdr:row>
      <xdr:rowOff>7408</xdr:rowOff>
    </xdr:to>
    <xdr:sp macro="" textlink="">
      <xdr:nvSpPr>
        <xdr:cNvPr id="30" name="正方形/長方形 29">
          <a:extLst>
            <a:ext uri="{FF2B5EF4-FFF2-40B4-BE49-F238E27FC236}">
              <a16:creationId xmlns:a16="http://schemas.microsoft.com/office/drawing/2014/main" id="{C22A9417-C021-4920-9469-E5B877C83009}"/>
            </a:ext>
          </a:extLst>
        </xdr:cNvPr>
        <xdr:cNvSpPr/>
      </xdr:nvSpPr>
      <xdr:spPr>
        <a:xfrm>
          <a:off x="1270000" y="3746500"/>
          <a:ext cx="10042223" cy="2944283"/>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8</xdr:col>
      <xdr:colOff>0</xdr:colOff>
      <xdr:row>11</xdr:row>
      <xdr:rowOff>301625</xdr:rowOff>
    </xdr:from>
    <xdr:to>
      <xdr:col>12</xdr:col>
      <xdr:colOff>2407708</xdr:colOff>
      <xdr:row>12</xdr:row>
      <xdr:rowOff>370963</xdr:rowOff>
    </xdr:to>
    <xdr:sp macro="" textlink="">
      <xdr:nvSpPr>
        <xdr:cNvPr id="31" name="正方形/長方形 30">
          <a:extLst>
            <a:ext uri="{FF2B5EF4-FFF2-40B4-BE49-F238E27FC236}">
              <a16:creationId xmlns:a16="http://schemas.microsoft.com/office/drawing/2014/main" id="{F4420467-C713-4FC9-A6D6-C2256B5CABDF}"/>
            </a:ext>
          </a:extLst>
        </xdr:cNvPr>
        <xdr:cNvSpPr/>
      </xdr:nvSpPr>
      <xdr:spPr>
        <a:xfrm>
          <a:off x="4143375" y="4635500"/>
          <a:ext cx="4360333" cy="65671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助成事業に従事していない日は空欄にしてください</a:t>
          </a:r>
          <a:endParaRPr kumimoji="1" lang="en-US" altLang="ja-JP" sz="1400" b="1">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17"/>
  <sheetViews>
    <sheetView tabSelected="1" zoomScaleNormal="100" workbookViewId="0"/>
  </sheetViews>
  <sheetFormatPr defaultColWidth="9" defaultRowHeight="12"/>
  <cols>
    <col min="1" max="1" width="94.81640625" style="146" customWidth="1"/>
    <col min="2" max="16384" width="9" style="146"/>
  </cols>
  <sheetData>
    <row r="1" spans="1:1" ht="14">
      <c r="A1" s="149" t="str">
        <f ca="1">RIGHT(CELL("filename",A1),
 LEN(CELL("filename",A1))
       -FIND("]",CELL("filename",A1)))</f>
        <v>本様式使用方法</v>
      </c>
    </row>
    <row r="2" spans="1:1" ht="6" customHeight="1"/>
    <row r="3" spans="1:1" ht="13.5">
      <c r="A3" s="148" t="s">
        <v>113</v>
      </c>
    </row>
    <row r="4" spans="1:1" ht="4.5" customHeight="1"/>
    <row r="5" spans="1:1" ht="282.75" customHeight="1">
      <c r="A5" s="221" t="s">
        <v>162</v>
      </c>
    </row>
    <row r="6" spans="1:1">
      <c r="A6" s="147"/>
    </row>
    <row r="17" spans="1:1">
      <c r="A17" s="220"/>
    </row>
  </sheetData>
  <sheetProtection sheet="1" objects="1" scenarios="1" selectLockedCells="1" selectUnlockedCell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39997558519241921"/>
  </sheetPr>
  <dimension ref="A1:AP51"/>
  <sheetViews>
    <sheetView view="pageBreakPreview" zoomScale="60" zoomScaleNormal="70" workbookViewId="0"/>
  </sheetViews>
  <sheetFormatPr defaultColWidth="11.26953125" defaultRowHeight="13"/>
  <cols>
    <col min="1" max="1" width="17.816406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（2026年7月支払分）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従事者別直接人件費集計表（前期）'!A12</f>
        <v>2026</v>
      </c>
      <c r="AK1" s="56"/>
      <c r="AL1" s="56"/>
      <c r="AM1" s="59" t="s">
        <v>41</v>
      </c>
      <c r="AN1" s="61" t="str">
        <f ca="1">RIGHT(CELL("filename",A1),LEN(CELL("filename",A1))-FIND("]",CELL("filename",A1)))</f>
        <v>2026年6月作業分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従事者別直接人件費集計表（前期）'!D12</f>
        <v>6</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46174</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46203</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31</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従事者別直接人件費集計表（前期）'!A12,'入力用 従事者別直接人件費集計表（前期）'!A13)</f>
        <v>2026</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153"/>
      <c r="Y8" s="153"/>
      <c r="AI8" s="105" t="s">
        <v>109</v>
      </c>
      <c r="AJ8" s="106">
        <f>IF(初期条件設定表!C26="当月",'入力用 従事者別直接人件費集計表（前期）'!D12,'入力用 従事者別直接人件費集計表（前期）'!D13)</f>
        <v>7</v>
      </c>
    </row>
    <row r="9" spans="1:42" ht="45.9" customHeight="1">
      <c r="A9" s="85">
        <f>Y9</f>
        <v>46174</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46174</v>
      </c>
      <c r="AA9" s="42"/>
    </row>
    <row r="10" spans="1:42" ht="45.9" customHeight="1">
      <c r="A10" s="85">
        <f t="shared" ref="A10:A35" si="8">Y10</f>
        <v>46175</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46175</v>
      </c>
      <c r="AA10" s="42"/>
      <c r="AE10" s="161" t="s">
        <v>117</v>
      </c>
      <c r="AF10" s="161" t="s">
        <v>127</v>
      </c>
    </row>
    <row r="11" spans="1:42" ht="45.9" customHeight="1">
      <c r="A11" s="85">
        <f t="shared" si="8"/>
        <v>46176</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46176</v>
      </c>
      <c r="AA11" s="42"/>
      <c r="AE11" s="134" t="str">
        <f>初期条件設定表!U5</f>
        <v>　</v>
      </c>
      <c r="AF11" s="162" t="str">
        <f>初期条件設定表!V5</f>
        <v>　</v>
      </c>
    </row>
    <row r="12" spans="1:42" ht="45.9" customHeight="1">
      <c r="A12" s="85">
        <f t="shared" si="8"/>
        <v>46177</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46177</v>
      </c>
      <c r="AA12" s="42"/>
      <c r="AE12" s="134" t="str">
        <f>初期条件設定表!U6</f>
        <v>設計</v>
      </c>
      <c r="AF12" s="163" t="str">
        <f>初期条件設定表!V6</f>
        <v>要件定義</v>
      </c>
    </row>
    <row r="13" spans="1:42" ht="45.9" customHeight="1">
      <c r="A13" s="85">
        <f t="shared" si="8"/>
        <v>46178</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46178</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46181</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46181</v>
      </c>
      <c r="Z14" s="41" t="str">
        <f t="shared" si="14"/>
        <v/>
      </c>
      <c r="AA14" s="42"/>
      <c r="AE14" s="134" t="str">
        <f>初期条件設定表!U8</f>
        <v>目標仕様</v>
      </c>
      <c r="AF14" s="163" t="str">
        <f>初期条件設定表!V8</f>
        <v>システム要件定義</v>
      </c>
    </row>
    <row r="15" spans="1:42" ht="45.9" customHeight="1">
      <c r="A15" s="85">
        <f t="shared" si="8"/>
        <v>46182</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46182</v>
      </c>
      <c r="Z15" s="41" t="str">
        <f t="shared" si="14"/>
        <v/>
      </c>
      <c r="AA15" s="42"/>
      <c r="AE15" s="134" t="str">
        <f>初期条件設定表!U9</f>
        <v>プログラミング</v>
      </c>
      <c r="AF15" s="163" t="str">
        <f>初期条件設定表!V9</f>
        <v>システムテスト</v>
      </c>
    </row>
    <row r="16" spans="1:42" ht="45.9" customHeight="1">
      <c r="A16" s="85">
        <f t="shared" si="8"/>
        <v>46183</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46183</v>
      </c>
      <c r="Z16" s="41" t="str">
        <f t="shared" si="14"/>
        <v/>
      </c>
      <c r="AA16" s="42"/>
      <c r="AE16" s="134" t="str">
        <f>初期条件設定表!U10</f>
        <v>試作</v>
      </c>
      <c r="AF16" s="163" t="str">
        <f>初期条件設定表!V10</f>
        <v>システム方式設計</v>
      </c>
    </row>
    <row r="17" spans="1:32" ht="45.9" customHeight="1">
      <c r="A17" s="85">
        <f t="shared" si="8"/>
        <v>46184</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46184</v>
      </c>
      <c r="Z17" s="41" t="str">
        <f t="shared" si="14"/>
        <v/>
      </c>
      <c r="AA17" s="42"/>
      <c r="AE17" s="134" t="str">
        <f>初期条件設定表!U11</f>
        <v>単体テスト</v>
      </c>
      <c r="AF17" s="163" t="str">
        <f>初期条件設定表!V11</f>
        <v>システム結合</v>
      </c>
    </row>
    <row r="18" spans="1:32" ht="45.9" customHeight="1">
      <c r="A18" s="85">
        <f t="shared" si="8"/>
        <v>46185</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46185</v>
      </c>
      <c r="Z18" s="41" t="str">
        <f t="shared" si="14"/>
        <v/>
      </c>
      <c r="AA18" s="42"/>
      <c r="AE18" s="134" t="str">
        <f>初期条件設定表!U12</f>
        <v>総合テスト</v>
      </c>
      <c r="AF18" s="163" t="str">
        <f>初期条件設定表!V12</f>
        <v>ソフトウェア設計</v>
      </c>
    </row>
    <row r="19" spans="1:32" ht="45.9" customHeight="1">
      <c r="A19" s="85">
        <f t="shared" si="8"/>
        <v>46188</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46188</v>
      </c>
      <c r="Z19" s="41" t="str">
        <f t="shared" si="14"/>
        <v/>
      </c>
      <c r="AA19" s="42"/>
      <c r="AE19" s="134" t="str">
        <f>初期条件設定表!U13</f>
        <v xml:space="preserve"> </v>
      </c>
      <c r="AF19" s="163" t="str">
        <f>初期条件設定表!V13</f>
        <v>ソフトウェアテスト</v>
      </c>
    </row>
    <row r="20" spans="1:32" ht="45.9" customHeight="1">
      <c r="A20" s="85">
        <f t="shared" si="8"/>
        <v>46189</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46189</v>
      </c>
      <c r="Z20" s="41" t="str">
        <f t="shared" si="14"/>
        <v/>
      </c>
      <c r="AA20" s="42"/>
      <c r="AE20" s="134" t="str">
        <f>初期条件設定表!U14</f>
        <v xml:space="preserve"> </v>
      </c>
      <c r="AF20" s="163" t="str">
        <f>初期条件設定表!V14</f>
        <v>プログラミング</v>
      </c>
    </row>
    <row r="21" spans="1:32" ht="45.9" customHeight="1">
      <c r="A21" s="85">
        <f t="shared" si="8"/>
        <v>46190</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46190</v>
      </c>
      <c r="Z21" s="41" t="str">
        <f t="shared" si="14"/>
        <v/>
      </c>
      <c r="AA21" s="42"/>
      <c r="AE21" s="134" t="str">
        <f>初期条件設定表!U15</f>
        <v xml:space="preserve"> </v>
      </c>
      <c r="AF21" s="163" t="str">
        <f>初期条件設定表!V15</f>
        <v>デバッグ</v>
      </c>
    </row>
    <row r="22" spans="1:32" ht="45.9" customHeight="1">
      <c r="A22" s="85">
        <f t="shared" si="8"/>
        <v>46191</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46191</v>
      </c>
      <c r="Z22" s="41" t="str">
        <f t="shared" si="14"/>
        <v/>
      </c>
      <c r="AA22" s="42"/>
      <c r="AE22" s="134" t="str">
        <f>初期条件設定表!U16</f>
        <v xml:space="preserve"> </v>
      </c>
      <c r="AF22" s="163" t="str">
        <f>初期条件設定表!V16</f>
        <v>要求仕様書作成</v>
      </c>
    </row>
    <row r="23" spans="1:32" ht="45.9" customHeight="1">
      <c r="A23" s="85">
        <f t="shared" si="8"/>
        <v>46192</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46192</v>
      </c>
      <c r="Z23" s="41" t="str">
        <f t="shared" si="14"/>
        <v/>
      </c>
      <c r="AA23" s="42"/>
      <c r="AE23" s="134" t="str">
        <f>初期条件設定表!U17</f>
        <v xml:space="preserve"> </v>
      </c>
      <c r="AF23" s="163" t="str">
        <f>初期条件設定表!V17</f>
        <v>製図</v>
      </c>
    </row>
    <row r="24" spans="1:32" ht="45.9" customHeight="1">
      <c r="A24" s="85">
        <f t="shared" si="8"/>
        <v>46195</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46195</v>
      </c>
      <c r="Z24" s="41" t="str">
        <f t="shared" si="14"/>
        <v/>
      </c>
      <c r="AA24" s="42"/>
      <c r="AE24" s="134" t="str">
        <f>初期条件設定表!U18</f>
        <v xml:space="preserve"> </v>
      </c>
      <c r="AF24" s="163" t="str">
        <f>初期条件設定表!V18</f>
        <v>シミュレーション</v>
      </c>
    </row>
    <row r="25" spans="1:32" ht="45.9" customHeight="1">
      <c r="A25" s="85">
        <f t="shared" si="8"/>
        <v>46196</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46196</v>
      </c>
      <c r="Z25" s="41" t="str">
        <f t="shared" si="14"/>
        <v/>
      </c>
      <c r="AA25" s="42"/>
      <c r="AE25" s="134" t="str">
        <f>初期条件設定表!U19</f>
        <v xml:space="preserve"> </v>
      </c>
      <c r="AF25" s="163" t="str">
        <f>初期条件設定表!V19</f>
        <v>製造・加工</v>
      </c>
    </row>
    <row r="26" spans="1:32" ht="45.9" customHeight="1">
      <c r="A26" s="85">
        <f t="shared" si="8"/>
        <v>46197</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46197</v>
      </c>
      <c r="Z26" s="41" t="str">
        <f t="shared" si="14"/>
        <v/>
      </c>
      <c r="AA26" s="42"/>
      <c r="AE26" s="134" t="str">
        <f>初期条件設定表!U20</f>
        <v xml:space="preserve"> </v>
      </c>
      <c r="AF26" s="163" t="str">
        <f>初期条件設定表!V20</f>
        <v>組み立て</v>
      </c>
    </row>
    <row r="27" spans="1:32" ht="45.9" customHeight="1">
      <c r="A27" s="85">
        <f t="shared" si="8"/>
        <v>46198</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46198</v>
      </c>
      <c r="Z27" s="41" t="str">
        <f t="shared" si="14"/>
        <v/>
      </c>
      <c r="AA27" s="42"/>
      <c r="AE27" s="134" t="str">
        <f>初期条件設定表!U21</f>
        <v xml:space="preserve"> </v>
      </c>
      <c r="AF27" s="163" t="str">
        <f>初期条件設定表!V21</f>
        <v>動作・性能試験</v>
      </c>
    </row>
    <row r="28" spans="1:32" ht="45.9" customHeight="1">
      <c r="A28" s="85">
        <f t="shared" si="8"/>
        <v>46199</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46199</v>
      </c>
      <c r="Z28" s="41" t="str">
        <f t="shared" si="14"/>
        <v/>
      </c>
      <c r="AA28" s="42"/>
      <c r="AE28" s="134" t="str">
        <f>初期条件設定表!U22</f>
        <v xml:space="preserve"> </v>
      </c>
      <c r="AF28" s="163" t="str">
        <f>初期条件設定表!V22</f>
        <v>○○</v>
      </c>
    </row>
    <row r="29" spans="1:32" ht="45.9" customHeight="1">
      <c r="A29" s="85">
        <f t="shared" si="8"/>
        <v>46202</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46202</v>
      </c>
      <c r="Z29" s="41" t="str">
        <f t="shared" si="14"/>
        <v/>
      </c>
      <c r="AA29" s="42"/>
      <c r="AE29" s="134" t="str">
        <f>初期条件設定表!U23</f>
        <v xml:space="preserve"> </v>
      </c>
      <c r="AF29" s="163" t="str">
        <f>初期条件設定表!V23</f>
        <v>○○</v>
      </c>
    </row>
    <row r="30" spans="1:32" ht="45.9" customHeight="1">
      <c r="A30" s="85">
        <f t="shared" si="8"/>
        <v>46203</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46203</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78"/>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900-000000000000}">
      <formula1>0</formula1>
      <formula2>0.999305555555556</formula2>
    </dataValidation>
    <dataValidation type="list" allowBlank="1" showInputMessage="1" showErrorMessage="1" sqref="N9:N32" xr:uid="{00000000-0002-0000-0900-000001000000}">
      <formula1>$AF$11:$AF$32</formula1>
    </dataValidation>
    <dataValidation type="list" allowBlank="1" showInputMessage="1" showErrorMessage="1" sqref="M33:M35" xr:uid="{00000000-0002-0000-0900-000002000000}">
      <formula1>$AE$11:$AE$20</formula1>
    </dataValidation>
    <dataValidation type="list" allowBlank="1" showInputMessage="1" showErrorMessage="1" sqref="N33:N35" xr:uid="{00000000-0002-0000-0900-000003000000}">
      <formula1>$AF$11:$AF$16</formula1>
    </dataValidation>
    <dataValidation type="list" allowBlank="1" showInputMessage="1" showErrorMessage="1" sqref="M9:M32" xr:uid="{00000000-0002-0000-09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tint="0.39997558519241921"/>
  </sheetPr>
  <dimension ref="A1:AP51"/>
  <sheetViews>
    <sheetView view="pageBreakPreview" zoomScale="60" zoomScaleNormal="70" workbookViewId="0"/>
  </sheetViews>
  <sheetFormatPr defaultColWidth="11.26953125" defaultRowHeight="13"/>
  <cols>
    <col min="1" max="1" width="17.816406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（2026年8月支払分）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従事者別直接人件費集計表（前期）'!A13</f>
        <v>2026</v>
      </c>
      <c r="AK1" s="56"/>
      <c r="AL1" s="56"/>
      <c r="AM1" s="59" t="s">
        <v>41</v>
      </c>
      <c r="AN1" s="61" t="str">
        <f ca="1">RIGHT(CELL("filename",A1),LEN(CELL("filename",A1))-FIND("]",CELL("filename",A1)))</f>
        <v>2026年7月作業分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従事者別直接人件費集計表（前期）'!D13</f>
        <v>7</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46204</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46234</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30</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従事者別直接人件費集計表（前期）'!A13,'入力用 従事者別直接人件費集計表（前期）'!A14)</f>
        <v>2026</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153"/>
      <c r="Y8" s="153"/>
      <c r="AI8" s="105" t="s">
        <v>109</v>
      </c>
      <c r="AJ8" s="106">
        <f>IF(初期条件設定表!C26="当月",'入力用 従事者別直接人件費集計表（前期）'!D13,'入力用 従事者別直接人件費集計表（前期）'!D14)</f>
        <v>8</v>
      </c>
    </row>
    <row r="9" spans="1:42" ht="45.9" customHeight="1">
      <c r="A9" s="85">
        <f>Y9</f>
        <v>46204</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t="s">
        <v>147</v>
      </c>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46204</v>
      </c>
      <c r="AA9" s="42"/>
    </row>
    <row r="10" spans="1:42" ht="45.9" customHeight="1">
      <c r="A10" s="85">
        <f t="shared" ref="A10:A35" si="8">Y10</f>
        <v>46205</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46205</v>
      </c>
      <c r="AA10" s="42"/>
      <c r="AE10" s="161" t="s">
        <v>117</v>
      </c>
      <c r="AF10" s="161" t="s">
        <v>127</v>
      </c>
    </row>
    <row r="11" spans="1:42" ht="45.9" customHeight="1">
      <c r="A11" s="85">
        <f t="shared" si="8"/>
        <v>46206</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46206</v>
      </c>
      <c r="AA11" s="42"/>
      <c r="AE11" s="134" t="str">
        <f>初期条件設定表!U5</f>
        <v>　</v>
      </c>
      <c r="AF11" s="162" t="str">
        <f>初期条件設定表!V5</f>
        <v>　</v>
      </c>
    </row>
    <row r="12" spans="1:42" ht="45.9" customHeight="1">
      <c r="A12" s="85">
        <f t="shared" si="8"/>
        <v>46209</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46209</v>
      </c>
      <c r="AA12" s="42"/>
      <c r="AE12" s="134" t="str">
        <f>初期条件設定表!U6</f>
        <v>設計</v>
      </c>
      <c r="AF12" s="163" t="str">
        <f>初期条件設定表!V6</f>
        <v>要件定義</v>
      </c>
    </row>
    <row r="13" spans="1:42" ht="45.9" customHeight="1">
      <c r="A13" s="85">
        <f t="shared" si="8"/>
        <v>46210</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46210</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46211</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46211</v>
      </c>
      <c r="Z14" s="41" t="str">
        <f t="shared" si="14"/>
        <v/>
      </c>
      <c r="AA14" s="42"/>
      <c r="AE14" s="134" t="str">
        <f>初期条件設定表!U8</f>
        <v>目標仕様</v>
      </c>
      <c r="AF14" s="163" t="str">
        <f>初期条件設定表!V8</f>
        <v>システム要件定義</v>
      </c>
    </row>
    <row r="15" spans="1:42" ht="45.9" customHeight="1">
      <c r="A15" s="85">
        <f t="shared" si="8"/>
        <v>46212</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46212</v>
      </c>
      <c r="Z15" s="41" t="str">
        <f t="shared" si="14"/>
        <v/>
      </c>
      <c r="AA15" s="42"/>
      <c r="AE15" s="134" t="str">
        <f>初期条件設定表!U9</f>
        <v>プログラミング</v>
      </c>
      <c r="AF15" s="163" t="str">
        <f>初期条件設定表!V9</f>
        <v>システムテスト</v>
      </c>
    </row>
    <row r="16" spans="1:42" ht="45.9" customHeight="1">
      <c r="A16" s="85">
        <f t="shared" si="8"/>
        <v>46213</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46213</v>
      </c>
      <c r="Z16" s="41" t="str">
        <f t="shared" si="14"/>
        <v/>
      </c>
      <c r="AA16" s="42"/>
      <c r="AE16" s="134" t="str">
        <f>初期条件設定表!U10</f>
        <v>試作</v>
      </c>
      <c r="AF16" s="163" t="str">
        <f>初期条件設定表!V10</f>
        <v>システム方式設計</v>
      </c>
    </row>
    <row r="17" spans="1:32" ht="45.9" customHeight="1">
      <c r="A17" s="85">
        <f t="shared" si="8"/>
        <v>46216</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46216</v>
      </c>
      <c r="Z17" s="41" t="str">
        <f t="shared" si="14"/>
        <v/>
      </c>
      <c r="AA17" s="42"/>
      <c r="AE17" s="134" t="str">
        <f>初期条件設定表!U11</f>
        <v>単体テスト</v>
      </c>
      <c r="AF17" s="163" t="str">
        <f>初期条件設定表!V11</f>
        <v>システム結合</v>
      </c>
    </row>
    <row r="18" spans="1:32" ht="45.9" customHeight="1">
      <c r="A18" s="85">
        <f t="shared" si="8"/>
        <v>46217</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46217</v>
      </c>
      <c r="Z18" s="41" t="str">
        <f t="shared" si="14"/>
        <v/>
      </c>
      <c r="AA18" s="42"/>
      <c r="AE18" s="134" t="str">
        <f>初期条件設定表!U12</f>
        <v>総合テスト</v>
      </c>
      <c r="AF18" s="163" t="str">
        <f>初期条件設定表!V12</f>
        <v>ソフトウェア設計</v>
      </c>
    </row>
    <row r="19" spans="1:32" ht="45.9" customHeight="1">
      <c r="A19" s="85">
        <f t="shared" si="8"/>
        <v>46218</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46218</v>
      </c>
      <c r="Z19" s="41" t="str">
        <f t="shared" si="14"/>
        <v/>
      </c>
      <c r="AA19" s="42"/>
      <c r="AE19" s="134" t="str">
        <f>初期条件設定表!U13</f>
        <v xml:space="preserve"> </v>
      </c>
      <c r="AF19" s="163" t="str">
        <f>初期条件設定表!V13</f>
        <v>ソフトウェアテスト</v>
      </c>
    </row>
    <row r="20" spans="1:32" ht="45.9" customHeight="1">
      <c r="A20" s="85">
        <f t="shared" si="8"/>
        <v>46219</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46219</v>
      </c>
      <c r="Z20" s="41" t="str">
        <f t="shared" si="14"/>
        <v/>
      </c>
      <c r="AA20" s="42"/>
      <c r="AE20" s="134" t="str">
        <f>初期条件設定表!U14</f>
        <v xml:space="preserve"> </v>
      </c>
      <c r="AF20" s="163" t="str">
        <f>初期条件設定表!V14</f>
        <v>プログラミング</v>
      </c>
    </row>
    <row r="21" spans="1:32" ht="45.9" customHeight="1">
      <c r="A21" s="85">
        <f t="shared" si="8"/>
        <v>46220</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46220</v>
      </c>
      <c r="Z21" s="41" t="str">
        <f t="shared" si="14"/>
        <v/>
      </c>
      <c r="AA21" s="42"/>
      <c r="AE21" s="134" t="str">
        <f>初期条件設定表!U15</f>
        <v xml:space="preserve"> </v>
      </c>
      <c r="AF21" s="163" t="str">
        <f>初期条件設定表!V15</f>
        <v>デバッグ</v>
      </c>
    </row>
    <row r="22" spans="1:32" ht="45.9" customHeight="1">
      <c r="A22" s="85">
        <f t="shared" si="8"/>
        <v>46223</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46223</v>
      </c>
      <c r="Z22" s="41" t="str">
        <f t="shared" si="14"/>
        <v/>
      </c>
      <c r="AA22" s="42"/>
      <c r="AE22" s="134" t="str">
        <f>初期条件設定表!U16</f>
        <v xml:space="preserve"> </v>
      </c>
      <c r="AF22" s="163" t="str">
        <f>初期条件設定表!V16</f>
        <v>要求仕様書作成</v>
      </c>
    </row>
    <row r="23" spans="1:32" ht="45.9" customHeight="1">
      <c r="A23" s="85">
        <f t="shared" si="8"/>
        <v>46224</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46224</v>
      </c>
      <c r="Z23" s="41" t="str">
        <f t="shared" si="14"/>
        <v/>
      </c>
      <c r="AA23" s="42"/>
      <c r="AE23" s="134" t="str">
        <f>初期条件設定表!U17</f>
        <v xml:space="preserve"> </v>
      </c>
      <c r="AF23" s="163" t="str">
        <f>初期条件設定表!V17</f>
        <v>製図</v>
      </c>
    </row>
    <row r="24" spans="1:32" ht="45.9" customHeight="1">
      <c r="A24" s="85">
        <f t="shared" si="8"/>
        <v>46225</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46225</v>
      </c>
      <c r="Z24" s="41" t="str">
        <f t="shared" si="14"/>
        <v/>
      </c>
      <c r="AA24" s="42"/>
      <c r="AE24" s="134" t="str">
        <f>初期条件設定表!U18</f>
        <v xml:space="preserve"> </v>
      </c>
      <c r="AF24" s="163" t="str">
        <f>初期条件設定表!V18</f>
        <v>シミュレーション</v>
      </c>
    </row>
    <row r="25" spans="1:32" ht="45.9" customHeight="1">
      <c r="A25" s="85">
        <f t="shared" si="8"/>
        <v>46226</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46226</v>
      </c>
      <c r="Z25" s="41" t="str">
        <f t="shared" si="14"/>
        <v/>
      </c>
      <c r="AA25" s="42"/>
      <c r="AE25" s="134" t="str">
        <f>初期条件設定表!U19</f>
        <v xml:space="preserve"> </v>
      </c>
      <c r="AF25" s="163" t="str">
        <f>初期条件設定表!V19</f>
        <v>製造・加工</v>
      </c>
    </row>
    <row r="26" spans="1:32" ht="45.9" customHeight="1">
      <c r="A26" s="85">
        <f t="shared" si="8"/>
        <v>46227</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46227</v>
      </c>
      <c r="Z26" s="41" t="str">
        <f t="shared" si="14"/>
        <v/>
      </c>
      <c r="AA26" s="42"/>
      <c r="AE26" s="134" t="str">
        <f>初期条件設定表!U20</f>
        <v xml:space="preserve"> </v>
      </c>
      <c r="AF26" s="163" t="str">
        <f>初期条件設定表!V20</f>
        <v>組み立て</v>
      </c>
    </row>
    <row r="27" spans="1:32" ht="45.9" customHeight="1">
      <c r="A27" s="85">
        <f t="shared" si="8"/>
        <v>46230</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46230</v>
      </c>
      <c r="Z27" s="41" t="str">
        <f t="shared" si="14"/>
        <v/>
      </c>
      <c r="AA27" s="42"/>
      <c r="AE27" s="134" t="str">
        <f>初期条件設定表!U21</f>
        <v xml:space="preserve"> </v>
      </c>
      <c r="AF27" s="163" t="str">
        <f>初期条件設定表!V21</f>
        <v>動作・性能試験</v>
      </c>
    </row>
    <row r="28" spans="1:32" ht="45.9" customHeight="1">
      <c r="A28" s="85">
        <f t="shared" si="8"/>
        <v>46231</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46231</v>
      </c>
      <c r="Z28" s="41" t="str">
        <f t="shared" si="14"/>
        <v/>
      </c>
      <c r="AA28" s="42"/>
      <c r="AE28" s="134" t="str">
        <f>初期条件設定表!U22</f>
        <v xml:space="preserve"> </v>
      </c>
      <c r="AF28" s="163" t="str">
        <f>初期条件設定表!V22</f>
        <v>○○</v>
      </c>
    </row>
    <row r="29" spans="1:32" ht="45.9" customHeight="1">
      <c r="A29" s="85">
        <f t="shared" si="8"/>
        <v>46232</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46232</v>
      </c>
      <c r="Z29" s="41" t="str">
        <f t="shared" si="14"/>
        <v/>
      </c>
      <c r="AA29" s="42"/>
      <c r="AE29" s="134" t="str">
        <f>初期条件設定表!U23</f>
        <v xml:space="preserve"> </v>
      </c>
      <c r="AF29" s="163" t="str">
        <f>初期条件設定表!V23</f>
        <v>○○</v>
      </c>
    </row>
    <row r="30" spans="1:32" ht="45.9" customHeight="1">
      <c r="A30" s="85">
        <f t="shared" si="8"/>
        <v>46233</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46233</v>
      </c>
      <c r="Z30" s="41" t="str">
        <f t="shared" si="14"/>
        <v/>
      </c>
      <c r="AA30" s="42"/>
      <c r="AE30" s="134" t="str">
        <f>初期条件設定表!U24</f>
        <v xml:space="preserve"> </v>
      </c>
      <c r="AF30" s="163" t="str">
        <f>初期条件設定表!V24</f>
        <v>○○</v>
      </c>
    </row>
    <row r="31" spans="1:32" ht="45.9" customHeight="1">
      <c r="A31" s="85">
        <f t="shared" si="8"/>
        <v>46234</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f t="shared" si="12"/>
        <v>46234</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78"/>
      <c r="N36" s="260"/>
      <c r="O36" s="56"/>
      <c r="P36" s="56"/>
      <c r="Q36" s="56"/>
      <c r="R36" s="56"/>
      <c r="S36" s="56"/>
      <c r="T36" s="56"/>
      <c r="U36" s="56"/>
      <c r="V36" s="72"/>
      <c r="W36" s="72"/>
      <c r="X36" s="72"/>
      <c r="Y36" s="72"/>
      <c r="Z36" s="42"/>
      <c r="AA36" s="42"/>
    </row>
    <row r="37" spans="1:27" ht="19.2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xr:uid="{00000000-0002-0000-0A00-000000000000}">
      <formula1>0</formula1>
      <formula2>0.999305555555556</formula2>
    </dataValidation>
    <dataValidation type="list" allowBlank="1" showInputMessage="1" showErrorMessage="1" sqref="N9:N32" xr:uid="{00000000-0002-0000-0A00-000001000000}">
      <formula1>$AF$11:$AF$32</formula1>
    </dataValidation>
    <dataValidation type="list" allowBlank="1" showInputMessage="1" showErrorMessage="1" sqref="N33:N35" xr:uid="{00000000-0002-0000-0A00-000002000000}">
      <formula1>$AF$11:$AF$16</formula1>
    </dataValidation>
    <dataValidation type="list" allowBlank="1" showInputMessage="1" showErrorMessage="1" sqref="M33:M35" xr:uid="{00000000-0002-0000-0A00-000003000000}">
      <formula1>$AE$11:$AE$20</formula1>
    </dataValidation>
    <dataValidation type="list" allowBlank="1" showInputMessage="1" showErrorMessage="1" sqref="M9:M32" xr:uid="{00000000-0002-0000-0A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4" tint="0.39997558519241921"/>
  </sheetPr>
  <dimension ref="A1:AP51"/>
  <sheetViews>
    <sheetView view="pageBreakPreview" topLeftCell="A20" zoomScale="60" zoomScaleNormal="70" workbookViewId="0"/>
  </sheetViews>
  <sheetFormatPr defaultColWidth="11.26953125" defaultRowHeight="13"/>
  <cols>
    <col min="1" max="1" width="17.816406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4" width="10.7265625" style="4" customWidth="1"/>
    <col min="45"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（2026年9月支払分）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従事者別直接人件費集計表（前期）'!A14</f>
        <v>2026</v>
      </c>
      <c r="AK1" s="56"/>
      <c r="AL1" s="56"/>
      <c r="AM1" s="59" t="s">
        <v>41</v>
      </c>
      <c r="AN1" s="61" t="str">
        <f ca="1">RIGHT(CELL("filename",A1),LEN(CELL("filename",A1))-FIND("]",CELL("filename",A1)))</f>
        <v>2026年8月作業分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従事者別直接人件費集計表（前期）'!D14</f>
        <v>8</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46235</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46265</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31</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従事者別直接人件費集計表（前期）'!A14,'入力用 従事者別直接人件費集計表（前期）'!A15)</f>
        <v>2026</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153"/>
      <c r="Y8" s="153"/>
      <c r="AI8" s="105" t="s">
        <v>109</v>
      </c>
      <c r="AJ8" s="106">
        <f>IF(初期条件設定表!C26="当月",'入力用 従事者別直接人件費集計表（前期）'!D14,'入力用 従事者別直接人件費集計表（前期）'!D15)</f>
        <v>9</v>
      </c>
    </row>
    <row r="9" spans="1:42" ht="45.9" customHeight="1">
      <c r="A9" s="85">
        <f>Y9</f>
        <v>46237</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46237</v>
      </c>
      <c r="AA9" s="42"/>
    </row>
    <row r="10" spans="1:42" ht="45.9" customHeight="1">
      <c r="A10" s="85">
        <f t="shared" ref="A10:A35" si="8">Y10</f>
        <v>46238</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46238</v>
      </c>
      <c r="AA10" s="42"/>
      <c r="AE10" s="161" t="s">
        <v>117</v>
      </c>
      <c r="AF10" s="161" t="s">
        <v>127</v>
      </c>
    </row>
    <row r="11" spans="1:42" ht="45.9" customHeight="1">
      <c r="A11" s="85">
        <f t="shared" si="8"/>
        <v>46239</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46239</v>
      </c>
      <c r="AA11" s="42"/>
      <c r="AE11" s="134" t="str">
        <f>初期条件設定表!U5</f>
        <v>　</v>
      </c>
      <c r="AF11" s="162" t="str">
        <f>初期条件設定表!V5</f>
        <v>　</v>
      </c>
    </row>
    <row r="12" spans="1:42" ht="45.9" customHeight="1">
      <c r="A12" s="85">
        <f t="shared" si="8"/>
        <v>46240</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46240</v>
      </c>
      <c r="AA12" s="42"/>
      <c r="AE12" s="134" t="str">
        <f>初期条件設定表!U6</f>
        <v>設計</v>
      </c>
      <c r="AF12" s="163" t="str">
        <f>初期条件設定表!V6</f>
        <v>要件定義</v>
      </c>
    </row>
    <row r="13" spans="1:42" ht="45.9" customHeight="1">
      <c r="A13" s="85">
        <f t="shared" si="8"/>
        <v>46241</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46241</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46244</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46244</v>
      </c>
      <c r="Z14" s="41" t="str">
        <f t="shared" si="14"/>
        <v/>
      </c>
      <c r="AA14" s="42"/>
      <c r="AE14" s="134" t="str">
        <f>初期条件設定表!U8</f>
        <v>目標仕様</v>
      </c>
      <c r="AF14" s="163" t="str">
        <f>初期条件設定表!V8</f>
        <v>システム要件定義</v>
      </c>
    </row>
    <row r="15" spans="1:42" ht="45.9" customHeight="1">
      <c r="A15" s="85">
        <f t="shared" si="8"/>
        <v>46245</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46245</v>
      </c>
      <c r="Z15" s="41" t="str">
        <f t="shared" si="14"/>
        <v/>
      </c>
      <c r="AA15" s="42"/>
      <c r="AE15" s="134" t="str">
        <f>初期条件設定表!U9</f>
        <v>プログラミング</v>
      </c>
      <c r="AF15" s="163" t="str">
        <f>初期条件設定表!V9</f>
        <v>システムテスト</v>
      </c>
    </row>
    <row r="16" spans="1:42" ht="45.9" customHeight="1">
      <c r="A16" s="85">
        <f t="shared" si="8"/>
        <v>46246</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46246</v>
      </c>
      <c r="Z16" s="41" t="str">
        <f t="shared" si="14"/>
        <v/>
      </c>
      <c r="AA16" s="42"/>
      <c r="AE16" s="134" t="str">
        <f>初期条件設定表!U10</f>
        <v>試作</v>
      </c>
      <c r="AF16" s="163" t="str">
        <f>初期条件設定表!V10</f>
        <v>システム方式設計</v>
      </c>
    </row>
    <row r="17" spans="1:32" ht="45.9" customHeight="1">
      <c r="A17" s="85">
        <f t="shared" si="8"/>
        <v>46247</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46247</v>
      </c>
      <c r="Z17" s="41" t="str">
        <f t="shared" si="14"/>
        <v/>
      </c>
      <c r="AA17" s="42"/>
      <c r="AE17" s="134" t="str">
        <f>初期条件設定表!U11</f>
        <v>単体テスト</v>
      </c>
      <c r="AF17" s="163" t="str">
        <f>初期条件設定表!V11</f>
        <v>システム結合</v>
      </c>
    </row>
    <row r="18" spans="1:32" ht="45.9" customHeight="1">
      <c r="A18" s="85">
        <f t="shared" si="8"/>
        <v>46248</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46248</v>
      </c>
      <c r="Z18" s="41" t="str">
        <f t="shared" si="14"/>
        <v/>
      </c>
      <c r="AA18" s="42"/>
      <c r="AE18" s="134" t="str">
        <f>初期条件設定表!U12</f>
        <v>総合テスト</v>
      </c>
      <c r="AF18" s="163" t="str">
        <f>初期条件設定表!V12</f>
        <v>ソフトウェア設計</v>
      </c>
    </row>
    <row r="19" spans="1:32" ht="45.9" customHeight="1">
      <c r="A19" s="85">
        <f t="shared" si="8"/>
        <v>46251</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46251</v>
      </c>
      <c r="Z19" s="41" t="str">
        <f t="shared" si="14"/>
        <v/>
      </c>
      <c r="AA19" s="42"/>
      <c r="AE19" s="134" t="str">
        <f>初期条件設定表!U13</f>
        <v xml:space="preserve"> </v>
      </c>
      <c r="AF19" s="163" t="str">
        <f>初期条件設定表!V13</f>
        <v>ソフトウェアテスト</v>
      </c>
    </row>
    <row r="20" spans="1:32" ht="45.9" customHeight="1">
      <c r="A20" s="85">
        <f t="shared" si="8"/>
        <v>46252</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46252</v>
      </c>
      <c r="Z20" s="41" t="str">
        <f t="shared" si="14"/>
        <v/>
      </c>
      <c r="AA20" s="42"/>
      <c r="AE20" s="134" t="str">
        <f>初期条件設定表!U14</f>
        <v xml:space="preserve"> </v>
      </c>
      <c r="AF20" s="163" t="str">
        <f>初期条件設定表!V14</f>
        <v>プログラミング</v>
      </c>
    </row>
    <row r="21" spans="1:32" ht="45.9" customHeight="1">
      <c r="A21" s="85">
        <f t="shared" si="8"/>
        <v>46253</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46253</v>
      </c>
      <c r="Z21" s="41" t="str">
        <f t="shared" si="14"/>
        <v/>
      </c>
      <c r="AA21" s="42"/>
      <c r="AE21" s="134" t="str">
        <f>初期条件設定表!U15</f>
        <v xml:space="preserve"> </v>
      </c>
      <c r="AF21" s="163" t="str">
        <f>初期条件設定表!V15</f>
        <v>デバッグ</v>
      </c>
    </row>
    <row r="22" spans="1:32" ht="45.9" customHeight="1">
      <c r="A22" s="85">
        <f t="shared" si="8"/>
        <v>46254</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46254</v>
      </c>
      <c r="Z22" s="41" t="str">
        <f t="shared" si="14"/>
        <v/>
      </c>
      <c r="AA22" s="42"/>
      <c r="AE22" s="134" t="str">
        <f>初期条件設定表!U16</f>
        <v xml:space="preserve"> </v>
      </c>
      <c r="AF22" s="163" t="str">
        <f>初期条件設定表!V16</f>
        <v>要求仕様書作成</v>
      </c>
    </row>
    <row r="23" spans="1:32" ht="45.9" customHeight="1">
      <c r="A23" s="85">
        <f t="shared" si="8"/>
        <v>46255</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46255</v>
      </c>
      <c r="Z23" s="41" t="str">
        <f t="shared" si="14"/>
        <v/>
      </c>
      <c r="AA23" s="42"/>
      <c r="AE23" s="134" t="str">
        <f>初期条件設定表!U17</f>
        <v xml:space="preserve"> </v>
      </c>
      <c r="AF23" s="163" t="str">
        <f>初期条件設定表!V17</f>
        <v>製図</v>
      </c>
    </row>
    <row r="24" spans="1:32" ht="45.9" customHeight="1">
      <c r="A24" s="85">
        <f t="shared" si="8"/>
        <v>46258</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46258</v>
      </c>
      <c r="Z24" s="41" t="str">
        <f t="shared" si="14"/>
        <v/>
      </c>
      <c r="AA24" s="42"/>
      <c r="AE24" s="134" t="str">
        <f>初期条件設定表!U18</f>
        <v xml:space="preserve"> </v>
      </c>
      <c r="AF24" s="163" t="str">
        <f>初期条件設定表!V18</f>
        <v>シミュレーション</v>
      </c>
    </row>
    <row r="25" spans="1:32" ht="45.9" customHeight="1">
      <c r="A25" s="85">
        <f t="shared" si="8"/>
        <v>46259</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46259</v>
      </c>
      <c r="Z25" s="41" t="str">
        <f t="shared" si="14"/>
        <v/>
      </c>
      <c r="AA25" s="42"/>
      <c r="AE25" s="134" t="str">
        <f>初期条件設定表!U19</f>
        <v xml:space="preserve"> </v>
      </c>
      <c r="AF25" s="163" t="str">
        <f>初期条件設定表!V19</f>
        <v>製造・加工</v>
      </c>
    </row>
    <row r="26" spans="1:32" ht="45.9" customHeight="1">
      <c r="A26" s="85">
        <f t="shared" si="8"/>
        <v>46260</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46260</v>
      </c>
      <c r="Z26" s="41" t="str">
        <f t="shared" si="14"/>
        <v/>
      </c>
      <c r="AA26" s="42"/>
      <c r="AE26" s="134" t="str">
        <f>初期条件設定表!U20</f>
        <v xml:space="preserve"> </v>
      </c>
      <c r="AF26" s="163" t="str">
        <f>初期条件設定表!V20</f>
        <v>組み立て</v>
      </c>
    </row>
    <row r="27" spans="1:32" ht="45.9" customHeight="1">
      <c r="A27" s="85">
        <f t="shared" si="8"/>
        <v>46261</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46261</v>
      </c>
      <c r="Z27" s="41" t="str">
        <f t="shared" si="14"/>
        <v/>
      </c>
      <c r="AA27" s="42"/>
      <c r="AE27" s="134" t="str">
        <f>初期条件設定表!U21</f>
        <v xml:space="preserve"> </v>
      </c>
      <c r="AF27" s="163" t="str">
        <f>初期条件設定表!V21</f>
        <v>動作・性能試験</v>
      </c>
    </row>
    <row r="28" spans="1:32" ht="45.9" customHeight="1">
      <c r="A28" s="85">
        <f t="shared" si="8"/>
        <v>46262</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46262</v>
      </c>
      <c r="Z28" s="41" t="str">
        <f t="shared" si="14"/>
        <v/>
      </c>
      <c r="AA28" s="42"/>
      <c r="AE28" s="134" t="str">
        <f>初期条件設定表!U22</f>
        <v xml:space="preserve"> </v>
      </c>
      <c r="AF28" s="163" t="str">
        <f>初期条件設定表!V22</f>
        <v>○○</v>
      </c>
    </row>
    <row r="29" spans="1:32" ht="45.9" customHeight="1">
      <c r="A29" s="85">
        <f t="shared" si="8"/>
        <v>46265</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46265</v>
      </c>
      <c r="Z29" s="41" t="str">
        <f t="shared" si="14"/>
        <v/>
      </c>
      <c r="AA29" s="42"/>
      <c r="AE29" s="134" t="str">
        <f>初期条件設定表!U23</f>
        <v xml:space="preserve"> </v>
      </c>
      <c r="AF29" s="163" t="str">
        <f>初期条件設定表!V23</f>
        <v>○○</v>
      </c>
    </row>
    <row r="30" spans="1:32" ht="45.9" customHeight="1">
      <c r="A30" s="85" t="str">
        <f t="shared" si="8"/>
        <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78"/>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B00-000000000000}">
      <formula1>0</formula1>
      <formula2>0.999305555555556</formula2>
    </dataValidation>
    <dataValidation type="list" allowBlank="1" showInputMessage="1" showErrorMessage="1" sqref="N9:N32" xr:uid="{00000000-0002-0000-0B00-000001000000}">
      <formula1>$AF$11:$AF$32</formula1>
    </dataValidation>
    <dataValidation type="list" allowBlank="1" showInputMessage="1" showErrorMessage="1" sqref="M33:M35" xr:uid="{00000000-0002-0000-0B00-000002000000}">
      <formula1>$AE$11:$AE$20</formula1>
    </dataValidation>
    <dataValidation type="list" allowBlank="1" showInputMessage="1" showErrorMessage="1" sqref="N33:N35" xr:uid="{00000000-0002-0000-0B00-000003000000}">
      <formula1>$AF$11:$AF$16</formula1>
    </dataValidation>
    <dataValidation type="list" allowBlank="1" showInputMessage="1" showErrorMessage="1" sqref="M9:M32" xr:uid="{00000000-0002-0000-0B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4" tint="0.39997558519241921"/>
  </sheetPr>
  <dimension ref="A1:AP51"/>
  <sheetViews>
    <sheetView view="pageBreakPreview" zoomScale="60" zoomScaleNormal="70" workbookViewId="0"/>
  </sheetViews>
  <sheetFormatPr defaultColWidth="11.26953125" defaultRowHeight="13"/>
  <cols>
    <col min="1" max="1" width="18.816406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（2026年10月支払分）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従事者別直接人件費集計表（前期）'!A15</f>
        <v>2026</v>
      </c>
      <c r="AK1" s="56"/>
      <c r="AL1" s="56"/>
      <c r="AM1" s="59" t="s">
        <v>41</v>
      </c>
      <c r="AN1" s="61" t="str">
        <f ca="1">RIGHT(CELL("filename",A1),LEN(CELL("filename",A1))-FIND("]",CELL("filename",A1)))</f>
        <v>2026年9月作業分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従事者別直接人件費集計表（前期）'!D15</f>
        <v>9</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46266</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46295</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31</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従事者別直接人件費集計表（前期）'!A15,'入力用 従事者別直接人件費集計表（前期）'!A16)</f>
        <v>2026</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153"/>
      <c r="Y8" s="153"/>
      <c r="AI8" s="105" t="s">
        <v>109</v>
      </c>
      <c r="AJ8" s="106">
        <f>IF(初期条件設定表!C26="当月",'入力用 従事者別直接人件費集計表（前期）'!D15,'入力用 従事者別直接人件費集計表（前期）'!D16)</f>
        <v>10</v>
      </c>
    </row>
    <row r="9" spans="1:42" ht="45.9" customHeight="1">
      <c r="A9" s="85">
        <f>Y9</f>
        <v>46266</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46266</v>
      </c>
      <c r="AA9" s="42"/>
    </row>
    <row r="10" spans="1:42" ht="45.9" customHeight="1">
      <c r="A10" s="85">
        <f t="shared" ref="A10:A35" si="8">Y10</f>
        <v>46267</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t="s">
        <v>147</v>
      </c>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46267</v>
      </c>
      <c r="AA10" s="42"/>
      <c r="AE10" s="161" t="s">
        <v>117</v>
      </c>
      <c r="AF10" s="161" t="s">
        <v>127</v>
      </c>
    </row>
    <row r="11" spans="1:42" ht="45.9" customHeight="1">
      <c r="A11" s="85">
        <f t="shared" si="8"/>
        <v>46268</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46268</v>
      </c>
      <c r="AA11" s="42"/>
      <c r="AE11" s="134" t="str">
        <f>初期条件設定表!U5</f>
        <v>　</v>
      </c>
      <c r="AF11" s="162" t="str">
        <f>初期条件設定表!V5</f>
        <v>　</v>
      </c>
    </row>
    <row r="12" spans="1:42" ht="45.9" customHeight="1">
      <c r="A12" s="85">
        <f t="shared" si="8"/>
        <v>46269</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46269</v>
      </c>
      <c r="AA12" s="42"/>
      <c r="AE12" s="134" t="str">
        <f>初期条件設定表!U6</f>
        <v>設計</v>
      </c>
      <c r="AF12" s="163" t="str">
        <f>初期条件設定表!V6</f>
        <v>要件定義</v>
      </c>
    </row>
    <row r="13" spans="1:42" ht="45.9" customHeight="1">
      <c r="A13" s="85">
        <f t="shared" si="8"/>
        <v>46272</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46272</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46273</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46273</v>
      </c>
      <c r="Z14" s="41" t="str">
        <f t="shared" si="14"/>
        <v/>
      </c>
      <c r="AA14" s="42"/>
      <c r="AE14" s="134" t="str">
        <f>初期条件設定表!U8</f>
        <v>目標仕様</v>
      </c>
      <c r="AF14" s="163" t="str">
        <f>初期条件設定表!V8</f>
        <v>システム要件定義</v>
      </c>
    </row>
    <row r="15" spans="1:42" ht="45.9" customHeight="1">
      <c r="A15" s="85">
        <f t="shared" si="8"/>
        <v>46274</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46274</v>
      </c>
      <c r="Z15" s="41" t="str">
        <f t="shared" si="14"/>
        <v/>
      </c>
      <c r="AA15" s="42"/>
      <c r="AE15" s="134" t="str">
        <f>初期条件設定表!U9</f>
        <v>プログラミング</v>
      </c>
      <c r="AF15" s="163" t="str">
        <f>初期条件設定表!V9</f>
        <v>システムテスト</v>
      </c>
    </row>
    <row r="16" spans="1:42" ht="45.9" customHeight="1">
      <c r="A16" s="85">
        <f t="shared" si="8"/>
        <v>46275</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46275</v>
      </c>
      <c r="Z16" s="41" t="str">
        <f t="shared" si="14"/>
        <v/>
      </c>
      <c r="AA16" s="42"/>
      <c r="AE16" s="134" t="str">
        <f>初期条件設定表!U10</f>
        <v>試作</v>
      </c>
      <c r="AF16" s="163" t="str">
        <f>初期条件設定表!V10</f>
        <v>システム方式設計</v>
      </c>
    </row>
    <row r="17" spans="1:32" ht="45.9" customHeight="1">
      <c r="A17" s="85">
        <f t="shared" si="8"/>
        <v>46276</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46276</v>
      </c>
      <c r="Z17" s="41" t="str">
        <f t="shared" si="14"/>
        <v/>
      </c>
      <c r="AA17" s="42"/>
      <c r="AE17" s="134" t="str">
        <f>初期条件設定表!U11</f>
        <v>単体テスト</v>
      </c>
      <c r="AF17" s="163" t="str">
        <f>初期条件設定表!V11</f>
        <v>システム結合</v>
      </c>
    </row>
    <row r="18" spans="1:32" ht="45.9" customHeight="1">
      <c r="A18" s="85">
        <f t="shared" si="8"/>
        <v>46279</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46279</v>
      </c>
      <c r="Z18" s="41" t="str">
        <f t="shared" si="14"/>
        <v/>
      </c>
      <c r="AA18" s="42"/>
      <c r="AE18" s="134" t="str">
        <f>初期条件設定表!U12</f>
        <v>総合テスト</v>
      </c>
      <c r="AF18" s="163" t="str">
        <f>初期条件設定表!V12</f>
        <v>ソフトウェア設計</v>
      </c>
    </row>
    <row r="19" spans="1:32" ht="45.9" customHeight="1">
      <c r="A19" s="85">
        <f t="shared" si="8"/>
        <v>46280</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46280</v>
      </c>
      <c r="Z19" s="41" t="str">
        <f t="shared" si="14"/>
        <v/>
      </c>
      <c r="AA19" s="42"/>
      <c r="AE19" s="134" t="str">
        <f>初期条件設定表!U13</f>
        <v xml:space="preserve"> </v>
      </c>
      <c r="AF19" s="163" t="str">
        <f>初期条件設定表!V13</f>
        <v>ソフトウェアテスト</v>
      </c>
    </row>
    <row r="20" spans="1:32" ht="45.9" customHeight="1">
      <c r="A20" s="85">
        <f t="shared" si="8"/>
        <v>46281</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46281</v>
      </c>
      <c r="Z20" s="41" t="str">
        <f t="shared" si="14"/>
        <v/>
      </c>
      <c r="AA20" s="42"/>
      <c r="AE20" s="134" t="str">
        <f>初期条件設定表!U14</f>
        <v xml:space="preserve"> </v>
      </c>
      <c r="AF20" s="163" t="str">
        <f>初期条件設定表!V14</f>
        <v>プログラミング</v>
      </c>
    </row>
    <row r="21" spans="1:32" ht="45.9" customHeight="1">
      <c r="A21" s="85">
        <f t="shared" si="8"/>
        <v>46282</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46282</v>
      </c>
      <c r="Z21" s="41" t="str">
        <f t="shared" si="14"/>
        <v/>
      </c>
      <c r="AA21" s="42"/>
      <c r="AE21" s="134" t="str">
        <f>初期条件設定表!U15</f>
        <v xml:space="preserve"> </v>
      </c>
      <c r="AF21" s="163" t="str">
        <f>初期条件設定表!V15</f>
        <v>デバッグ</v>
      </c>
    </row>
    <row r="22" spans="1:32" ht="45.9" customHeight="1">
      <c r="A22" s="85">
        <f t="shared" si="8"/>
        <v>46283</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46283</v>
      </c>
      <c r="Z22" s="41" t="str">
        <f t="shared" si="14"/>
        <v/>
      </c>
      <c r="AA22" s="42"/>
      <c r="AE22" s="134" t="str">
        <f>初期条件設定表!U16</f>
        <v xml:space="preserve"> </v>
      </c>
      <c r="AF22" s="163" t="str">
        <f>初期条件設定表!V16</f>
        <v>要求仕様書作成</v>
      </c>
    </row>
    <row r="23" spans="1:32" ht="45.9" customHeight="1">
      <c r="A23" s="85">
        <f t="shared" si="8"/>
        <v>46286</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46286</v>
      </c>
      <c r="Z23" s="41" t="str">
        <f t="shared" si="14"/>
        <v/>
      </c>
      <c r="AA23" s="42"/>
      <c r="AE23" s="134" t="str">
        <f>初期条件設定表!U17</f>
        <v xml:space="preserve"> </v>
      </c>
      <c r="AF23" s="163" t="str">
        <f>初期条件設定表!V17</f>
        <v>製図</v>
      </c>
    </row>
    <row r="24" spans="1:32" ht="45.9" customHeight="1">
      <c r="A24" s="85">
        <f t="shared" si="8"/>
        <v>46287</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46287</v>
      </c>
      <c r="Z24" s="41" t="str">
        <f t="shared" si="14"/>
        <v/>
      </c>
      <c r="AA24" s="42"/>
      <c r="AE24" s="134" t="str">
        <f>初期条件設定表!U18</f>
        <v xml:space="preserve"> </v>
      </c>
      <c r="AF24" s="163" t="str">
        <f>初期条件設定表!V18</f>
        <v>シミュレーション</v>
      </c>
    </row>
    <row r="25" spans="1:32" ht="45.9" customHeight="1">
      <c r="A25" s="85">
        <f t="shared" si="8"/>
        <v>46288</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46288</v>
      </c>
      <c r="Z25" s="41" t="str">
        <f t="shared" si="14"/>
        <v/>
      </c>
      <c r="AA25" s="42"/>
      <c r="AE25" s="134" t="str">
        <f>初期条件設定表!U19</f>
        <v xml:space="preserve"> </v>
      </c>
      <c r="AF25" s="163" t="str">
        <f>初期条件設定表!V19</f>
        <v>製造・加工</v>
      </c>
    </row>
    <row r="26" spans="1:32" ht="45.9" customHeight="1">
      <c r="A26" s="85">
        <f t="shared" si="8"/>
        <v>46289</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46289</v>
      </c>
      <c r="Z26" s="41" t="str">
        <f t="shared" si="14"/>
        <v/>
      </c>
      <c r="AA26" s="42"/>
      <c r="AE26" s="134" t="str">
        <f>初期条件設定表!U20</f>
        <v xml:space="preserve"> </v>
      </c>
      <c r="AF26" s="163" t="str">
        <f>初期条件設定表!V20</f>
        <v>組み立て</v>
      </c>
    </row>
    <row r="27" spans="1:32" ht="45.9" customHeight="1">
      <c r="A27" s="85">
        <f t="shared" si="8"/>
        <v>46290</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46290</v>
      </c>
      <c r="Z27" s="41" t="str">
        <f t="shared" si="14"/>
        <v/>
      </c>
      <c r="AA27" s="42"/>
      <c r="AE27" s="134" t="str">
        <f>初期条件設定表!U21</f>
        <v xml:space="preserve"> </v>
      </c>
      <c r="AF27" s="163" t="str">
        <f>初期条件設定表!V21</f>
        <v>動作・性能試験</v>
      </c>
    </row>
    <row r="28" spans="1:32" ht="45.9" customHeight="1">
      <c r="A28" s="85">
        <f t="shared" si="8"/>
        <v>46293</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46293</v>
      </c>
      <c r="Z28" s="41" t="str">
        <f t="shared" si="14"/>
        <v/>
      </c>
      <c r="AA28" s="42"/>
      <c r="AE28" s="134" t="str">
        <f>初期条件設定表!U22</f>
        <v xml:space="preserve"> </v>
      </c>
      <c r="AF28" s="163" t="str">
        <f>初期条件設定表!V22</f>
        <v>○○</v>
      </c>
    </row>
    <row r="29" spans="1:32" ht="45.9" customHeight="1">
      <c r="A29" s="85">
        <f t="shared" si="8"/>
        <v>46294</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46294</v>
      </c>
      <c r="Z29" s="41" t="str">
        <f t="shared" si="14"/>
        <v/>
      </c>
      <c r="AA29" s="42"/>
      <c r="AE29" s="134" t="str">
        <f>初期条件設定表!U23</f>
        <v xml:space="preserve"> </v>
      </c>
      <c r="AF29" s="163" t="str">
        <f>初期条件設定表!V23</f>
        <v>○○</v>
      </c>
    </row>
    <row r="30" spans="1:32" ht="45.9" customHeight="1">
      <c r="A30" s="85">
        <f t="shared" si="8"/>
        <v>46295</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46295</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156" t="s">
        <v>0</v>
      </c>
      <c r="M33" s="179"/>
      <c r="N33" s="169"/>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156" t="s">
        <v>0</v>
      </c>
      <c r="M34" s="159"/>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180" t="s">
        <v>84</v>
      </c>
      <c r="M35" s="164"/>
      <c r="N35" s="181"/>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78"/>
      <c r="N36" s="262"/>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C00-000000000000}">
      <formula1>0</formula1>
      <formula2>0.999305555555556</formula2>
    </dataValidation>
    <dataValidation type="list" allowBlank="1" showInputMessage="1" showErrorMessage="1" sqref="N9:N32" xr:uid="{00000000-0002-0000-0C00-000001000000}">
      <formula1>$AF$11:$AF$31</formula1>
    </dataValidation>
    <dataValidation type="list" allowBlank="1" showInputMessage="1" showErrorMessage="1" sqref="N33:N35" xr:uid="{00000000-0002-0000-0C00-000002000000}">
      <formula1>$AF$11:$AF$16</formula1>
    </dataValidation>
    <dataValidation type="list" allowBlank="1" showInputMessage="1" showErrorMessage="1" sqref="M33:M35" xr:uid="{00000000-0002-0000-0C00-000003000000}">
      <formula1>$AE$11:$AE$20</formula1>
    </dataValidation>
    <dataValidation type="list" allowBlank="1" showInputMessage="1" showErrorMessage="1" sqref="M9:M32" xr:uid="{00000000-0002-0000-0C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4" tint="0.39997558519241921"/>
  </sheetPr>
  <dimension ref="A1:AP51"/>
  <sheetViews>
    <sheetView view="pageBreakPreview" topLeftCell="A24" zoomScale="60" zoomScaleNormal="70" workbookViewId="0"/>
  </sheetViews>
  <sheetFormatPr defaultColWidth="11.26953125" defaultRowHeight="13"/>
  <cols>
    <col min="1" max="1" width="19.0898437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（2026年11月支払分）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従事者別直接人件費集計表（前期）'!A17</f>
        <v>2026</v>
      </c>
      <c r="AK1" s="56"/>
      <c r="AL1" s="56"/>
      <c r="AM1" s="59" t="s">
        <v>41</v>
      </c>
      <c r="AN1" s="61" t="str">
        <f ca="1">RIGHT(CELL("filename",A1),LEN(CELL("filename",A1))-FIND("]",CELL("filename",A1)))</f>
        <v>2026年10月作業分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従事者別直接人件費集計表（前期）'!D16</f>
        <v>10</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46296</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46326</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30</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従事者別直接人件費集計表（前期）'!A16,'入力用 従事者別直接人件費集計表（前期）'!A17)</f>
        <v>2026</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153"/>
      <c r="Y8" s="153"/>
      <c r="AI8" s="105" t="s">
        <v>109</v>
      </c>
      <c r="AJ8" s="106">
        <f>IF(初期条件設定表!C26="当月",'入力用 従事者別直接人件費集計表（前期）'!D16,'入力用 従事者別直接人件費集計表（前期）'!D17)</f>
        <v>11</v>
      </c>
    </row>
    <row r="9" spans="1:42" ht="45.9" customHeight="1">
      <c r="A9" s="85">
        <f>Y9</f>
        <v>46296</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46296</v>
      </c>
      <c r="AA9" s="42"/>
    </row>
    <row r="10" spans="1:42" ht="45.9" customHeight="1">
      <c r="A10" s="85">
        <f t="shared" ref="A10:A35" si="8">Y10</f>
        <v>46297</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46297</v>
      </c>
      <c r="AA10" s="42"/>
      <c r="AE10" s="161" t="s">
        <v>117</v>
      </c>
      <c r="AF10" s="161" t="s">
        <v>127</v>
      </c>
    </row>
    <row r="11" spans="1:42" ht="45.9" customHeight="1">
      <c r="A11" s="85">
        <f t="shared" si="8"/>
        <v>46300</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46300</v>
      </c>
      <c r="AA11" s="42"/>
      <c r="AE11" s="134" t="str">
        <f>初期条件設定表!U5</f>
        <v>　</v>
      </c>
      <c r="AF11" s="162" t="str">
        <f>初期条件設定表!V5</f>
        <v>　</v>
      </c>
    </row>
    <row r="12" spans="1:42" ht="45.9" customHeight="1">
      <c r="A12" s="85">
        <f t="shared" si="8"/>
        <v>46301</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46301</v>
      </c>
      <c r="AA12" s="42"/>
      <c r="AE12" s="134" t="str">
        <f>初期条件設定表!U6</f>
        <v>設計</v>
      </c>
      <c r="AF12" s="163" t="str">
        <f>初期条件設定表!V6</f>
        <v>要件定義</v>
      </c>
    </row>
    <row r="13" spans="1:42" ht="45.9" customHeight="1">
      <c r="A13" s="85">
        <f t="shared" si="8"/>
        <v>46302</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46302</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46303</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46303</v>
      </c>
      <c r="Z14" s="41" t="str">
        <f t="shared" si="14"/>
        <v/>
      </c>
      <c r="AA14" s="42"/>
      <c r="AE14" s="134" t="str">
        <f>初期条件設定表!U8</f>
        <v>目標仕様</v>
      </c>
      <c r="AF14" s="163" t="str">
        <f>初期条件設定表!V8</f>
        <v>システム要件定義</v>
      </c>
    </row>
    <row r="15" spans="1:42" ht="45.9" customHeight="1">
      <c r="A15" s="85">
        <f t="shared" si="8"/>
        <v>46304</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46304</v>
      </c>
      <c r="Z15" s="41" t="str">
        <f t="shared" si="14"/>
        <v/>
      </c>
      <c r="AA15" s="42"/>
      <c r="AE15" s="134" t="str">
        <f>初期条件設定表!U9</f>
        <v>プログラミング</v>
      </c>
      <c r="AF15" s="163" t="str">
        <f>初期条件設定表!V9</f>
        <v>システムテスト</v>
      </c>
    </row>
    <row r="16" spans="1:42" ht="45.9" customHeight="1">
      <c r="A16" s="85">
        <f t="shared" si="8"/>
        <v>46307</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46307</v>
      </c>
      <c r="Z16" s="41" t="str">
        <f t="shared" si="14"/>
        <v/>
      </c>
      <c r="AA16" s="42"/>
      <c r="AE16" s="134" t="str">
        <f>初期条件設定表!U10</f>
        <v>試作</v>
      </c>
      <c r="AF16" s="163" t="str">
        <f>初期条件設定表!V10</f>
        <v>システム方式設計</v>
      </c>
    </row>
    <row r="17" spans="1:32" ht="45.9" customHeight="1">
      <c r="A17" s="85">
        <f t="shared" si="8"/>
        <v>46308</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46308</v>
      </c>
      <c r="Z17" s="41" t="str">
        <f t="shared" si="14"/>
        <v/>
      </c>
      <c r="AA17" s="42"/>
      <c r="AE17" s="134" t="str">
        <f>初期条件設定表!U11</f>
        <v>単体テスト</v>
      </c>
      <c r="AF17" s="163" t="str">
        <f>初期条件設定表!V11</f>
        <v>システム結合</v>
      </c>
    </row>
    <row r="18" spans="1:32" ht="45.9" customHeight="1">
      <c r="A18" s="85">
        <f t="shared" si="8"/>
        <v>46309</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46309</v>
      </c>
      <c r="Z18" s="41" t="str">
        <f t="shared" si="14"/>
        <v/>
      </c>
      <c r="AA18" s="42"/>
      <c r="AE18" s="134" t="str">
        <f>初期条件設定表!U12</f>
        <v>総合テスト</v>
      </c>
      <c r="AF18" s="163" t="str">
        <f>初期条件設定表!V12</f>
        <v>ソフトウェア設計</v>
      </c>
    </row>
    <row r="19" spans="1:32" ht="45.9" customHeight="1">
      <c r="A19" s="85">
        <f t="shared" si="8"/>
        <v>46310</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46310</v>
      </c>
      <c r="Z19" s="41" t="str">
        <f t="shared" si="14"/>
        <v/>
      </c>
      <c r="AA19" s="42"/>
      <c r="AE19" s="134" t="str">
        <f>初期条件設定表!U13</f>
        <v xml:space="preserve"> </v>
      </c>
      <c r="AF19" s="163" t="str">
        <f>初期条件設定表!V13</f>
        <v>ソフトウェアテスト</v>
      </c>
    </row>
    <row r="20" spans="1:32" ht="45.9" customHeight="1">
      <c r="A20" s="85">
        <f t="shared" si="8"/>
        <v>46311</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46311</v>
      </c>
      <c r="Z20" s="41" t="str">
        <f t="shared" si="14"/>
        <v/>
      </c>
      <c r="AA20" s="42"/>
      <c r="AE20" s="134" t="str">
        <f>初期条件設定表!U14</f>
        <v xml:space="preserve"> </v>
      </c>
      <c r="AF20" s="163" t="str">
        <f>初期条件設定表!V14</f>
        <v>プログラミング</v>
      </c>
    </row>
    <row r="21" spans="1:32" ht="45.9" customHeight="1">
      <c r="A21" s="85">
        <f t="shared" si="8"/>
        <v>46314</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46314</v>
      </c>
      <c r="Z21" s="41" t="str">
        <f t="shared" si="14"/>
        <v/>
      </c>
      <c r="AA21" s="42"/>
      <c r="AE21" s="134" t="str">
        <f>初期条件設定表!U15</f>
        <v xml:space="preserve"> </v>
      </c>
      <c r="AF21" s="163" t="str">
        <f>初期条件設定表!V15</f>
        <v>デバッグ</v>
      </c>
    </row>
    <row r="22" spans="1:32" ht="45.9" customHeight="1">
      <c r="A22" s="85">
        <f t="shared" si="8"/>
        <v>46315</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46315</v>
      </c>
      <c r="Z22" s="41" t="str">
        <f t="shared" si="14"/>
        <v/>
      </c>
      <c r="AA22" s="42"/>
      <c r="AE22" s="134" t="str">
        <f>初期条件設定表!U16</f>
        <v xml:space="preserve"> </v>
      </c>
      <c r="AF22" s="163" t="str">
        <f>初期条件設定表!V16</f>
        <v>要求仕様書作成</v>
      </c>
    </row>
    <row r="23" spans="1:32" ht="45.9" customHeight="1">
      <c r="A23" s="85">
        <f t="shared" si="8"/>
        <v>46316</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46316</v>
      </c>
      <c r="Z23" s="41" t="str">
        <f t="shared" si="14"/>
        <v/>
      </c>
      <c r="AA23" s="42"/>
      <c r="AE23" s="134" t="str">
        <f>初期条件設定表!U17</f>
        <v xml:space="preserve"> </v>
      </c>
      <c r="AF23" s="163" t="str">
        <f>初期条件設定表!V17</f>
        <v>製図</v>
      </c>
    </row>
    <row r="24" spans="1:32" ht="45.9" customHeight="1">
      <c r="A24" s="85">
        <f t="shared" si="8"/>
        <v>46317</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46317</v>
      </c>
      <c r="Z24" s="41" t="str">
        <f t="shared" si="14"/>
        <v/>
      </c>
      <c r="AA24" s="42"/>
      <c r="AE24" s="134" t="str">
        <f>初期条件設定表!U18</f>
        <v xml:space="preserve"> </v>
      </c>
      <c r="AF24" s="163" t="str">
        <f>初期条件設定表!V18</f>
        <v>シミュレーション</v>
      </c>
    </row>
    <row r="25" spans="1:32" ht="45.9" customHeight="1">
      <c r="A25" s="85">
        <f t="shared" si="8"/>
        <v>46318</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46318</v>
      </c>
      <c r="Z25" s="41" t="str">
        <f t="shared" si="14"/>
        <v/>
      </c>
      <c r="AA25" s="42"/>
      <c r="AE25" s="134" t="str">
        <f>初期条件設定表!U19</f>
        <v xml:space="preserve"> </v>
      </c>
      <c r="AF25" s="163" t="str">
        <f>初期条件設定表!V19</f>
        <v>製造・加工</v>
      </c>
    </row>
    <row r="26" spans="1:32" ht="45.9" customHeight="1">
      <c r="A26" s="85">
        <f t="shared" si="8"/>
        <v>46321</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46321</v>
      </c>
      <c r="Z26" s="41" t="str">
        <f t="shared" si="14"/>
        <v/>
      </c>
      <c r="AA26" s="42"/>
      <c r="AE26" s="134" t="str">
        <f>初期条件設定表!U20</f>
        <v xml:space="preserve"> </v>
      </c>
      <c r="AF26" s="163" t="str">
        <f>初期条件設定表!V20</f>
        <v>組み立て</v>
      </c>
    </row>
    <row r="27" spans="1:32" ht="45.9" customHeight="1">
      <c r="A27" s="85">
        <f t="shared" si="8"/>
        <v>46322</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46322</v>
      </c>
      <c r="Z27" s="41" t="str">
        <f t="shared" si="14"/>
        <v/>
      </c>
      <c r="AA27" s="42"/>
      <c r="AE27" s="134" t="str">
        <f>初期条件設定表!U21</f>
        <v xml:space="preserve"> </v>
      </c>
      <c r="AF27" s="163" t="str">
        <f>初期条件設定表!V21</f>
        <v>動作・性能試験</v>
      </c>
    </row>
    <row r="28" spans="1:32" ht="45.9" customHeight="1">
      <c r="A28" s="85">
        <f t="shared" si="8"/>
        <v>46323</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46323</v>
      </c>
      <c r="Z28" s="41" t="str">
        <f t="shared" si="14"/>
        <v/>
      </c>
      <c r="AA28" s="42"/>
      <c r="AE28" s="134" t="str">
        <f>初期条件設定表!U22</f>
        <v xml:space="preserve"> </v>
      </c>
      <c r="AF28" s="163" t="str">
        <f>初期条件設定表!V22</f>
        <v>○○</v>
      </c>
    </row>
    <row r="29" spans="1:32" ht="45.9" customHeight="1">
      <c r="A29" s="85">
        <f t="shared" si="8"/>
        <v>46324</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46324</v>
      </c>
      <c r="Z29" s="41" t="str">
        <f t="shared" si="14"/>
        <v/>
      </c>
      <c r="AA29" s="42"/>
      <c r="AE29" s="134" t="str">
        <f>初期条件設定表!U23</f>
        <v xml:space="preserve"> </v>
      </c>
      <c r="AF29" s="163" t="str">
        <f>初期条件設定表!V23</f>
        <v>○○</v>
      </c>
    </row>
    <row r="30" spans="1:32" ht="45.9" customHeight="1">
      <c r="A30" s="85">
        <f t="shared" si="8"/>
        <v>46325</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46325</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82"/>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D00-000000000000}">
      <formula1>0</formula1>
      <formula2>0.999305555555556</formula2>
    </dataValidation>
    <dataValidation type="list" allowBlank="1" showInputMessage="1" showErrorMessage="1" sqref="N9:N32" xr:uid="{00000000-0002-0000-0D00-000001000000}">
      <formula1>$AF$11:$AF$32</formula1>
    </dataValidation>
    <dataValidation type="list" allowBlank="1" showInputMessage="1" showErrorMessage="1" sqref="M33:M35" xr:uid="{00000000-0002-0000-0D00-000002000000}">
      <formula1>$AE$11:$AE$20</formula1>
    </dataValidation>
    <dataValidation type="list" allowBlank="1" showInputMessage="1" showErrorMessage="1" sqref="N33:N35" xr:uid="{00000000-0002-0000-0D00-000003000000}">
      <formula1>$AF$11:$AF$16</formula1>
    </dataValidation>
    <dataValidation type="list" allowBlank="1" showInputMessage="1" showErrorMessage="1" sqref="M9:M32" xr:uid="{00000000-0002-0000-0D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EE333-C531-4D22-8862-E8AE97832B52}">
  <sheetPr>
    <tabColor theme="4" tint="0.39997558519241921"/>
  </sheetPr>
  <dimension ref="A1:AP51"/>
  <sheetViews>
    <sheetView view="pageBreakPreview" zoomScale="60" zoomScaleNormal="70" workbookViewId="0"/>
  </sheetViews>
  <sheetFormatPr defaultColWidth="11.26953125" defaultRowHeight="13"/>
  <cols>
    <col min="1" max="1" width="19.0898437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（対象外年対象外月支払分）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従事者別直接人件費集計表（前期）'!A17</f>
        <v>2026</v>
      </c>
      <c r="AK1" s="56"/>
      <c r="AL1" s="56"/>
      <c r="AM1" s="59" t="s">
        <v>41</v>
      </c>
      <c r="AN1" s="61" t="str">
        <f ca="1">RIGHT(CELL("filename",A1),LEN(CELL("filename",A1))-FIND("]",CELL("filename",A1)))</f>
        <v>2026年11月作業分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従事者別直接人件費集計表（前期）'!D17</f>
        <v>11</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46327</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46356</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264" t="s">
        <v>97</v>
      </c>
      <c r="AF6" s="65" t="str">
        <f>IF(初期条件設定表!$C$24="末",TEXT(DATE(AJ1,AJ2,1)-1,"d"),初期条件設定表!$C$24)</f>
        <v>31</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265"/>
      <c r="Y7" s="265"/>
      <c r="AI7" s="105" t="s">
        <v>110</v>
      </c>
      <c r="AJ7" s="106" t="str">
        <f>IF(初期条件設定表!C26="当月",'入力用 従事者別直接人件費集計表（前期）'!A17,"対象外")</f>
        <v>対象外</v>
      </c>
    </row>
    <row r="8" spans="1:42" s="105" customFormat="1" ht="24" customHeight="1" thickBot="1">
      <c r="A8" s="357"/>
      <c r="B8" s="359"/>
      <c r="C8" s="359"/>
      <c r="D8" s="359"/>
      <c r="E8" s="363"/>
      <c r="F8" s="364"/>
      <c r="G8" s="364"/>
      <c r="H8" s="365"/>
      <c r="I8" s="369"/>
      <c r="J8" s="369"/>
      <c r="K8" s="366"/>
      <c r="L8" s="367"/>
      <c r="M8" s="175" t="s">
        <v>116</v>
      </c>
      <c r="N8" s="176" t="s">
        <v>121</v>
      </c>
      <c r="O8" s="354"/>
      <c r="P8" s="353"/>
      <c r="Q8" s="353"/>
      <c r="R8" s="353"/>
      <c r="S8" s="353"/>
      <c r="T8" s="353"/>
      <c r="U8" s="353"/>
      <c r="V8" s="353"/>
      <c r="W8" s="350"/>
      <c r="X8" s="265"/>
      <c r="Y8" s="265"/>
      <c r="AI8" s="105" t="s">
        <v>109</v>
      </c>
      <c r="AJ8" s="106" t="str">
        <f>IF(初期条件設定表!C26="当月",'入力用 従事者別直接人件費集計表（前期）'!D17,"対象外")</f>
        <v>対象外</v>
      </c>
    </row>
    <row r="9" spans="1:42" ht="45.9" customHeight="1">
      <c r="A9" s="85">
        <f>Y9</f>
        <v>46328</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46328</v>
      </c>
      <c r="AA9" s="42"/>
    </row>
    <row r="10" spans="1:42" ht="45.9" customHeight="1">
      <c r="A10" s="85">
        <f t="shared" ref="A10:A35" si="8">Y10</f>
        <v>46329</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46329</v>
      </c>
      <c r="AA10" s="42"/>
      <c r="AE10" s="161" t="s">
        <v>117</v>
      </c>
      <c r="AF10" s="161" t="s">
        <v>127</v>
      </c>
    </row>
    <row r="11" spans="1:42" ht="45.9" customHeight="1">
      <c r="A11" s="85">
        <f t="shared" si="8"/>
        <v>46330</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46330</v>
      </c>
      <c r="AA11" s="42"/>
      <c r="AE11" s="134" t="str">
        <f>初期条件設定表!U5</f>
        <v>　</v>
      </c>
      <c r="AF11" s="162" t="str">
        <f>初期条件設定表!V5</f>
        <v>　</v>
      </c>
    </row>
    <row r="12" spans="1:42" ht="45.9" customHeight="1">
      <c r="A12" s="85">
        <f t="shared" si="8"/>
        <v>46331</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46331</v>
      </c>
      <c r="AA12" s="42"/>
      <c r="AE12" s="134" t="str">
        <f>初期条件設定表!U6</f>
        <v>設計</v>
      </c>
      <c r="AF12" s="163" t="str">
        <f>初期条件設定表!V6</f>
        <v>要件定義</v>
      </c>
    </row>
    <row r="13" spans="1:42" ht="45.9" customHeight="1">
      <c r="A13" s="85">
        <f t="shared" si="8"/>
        <v>46332</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46332</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46335</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46335</v>
      </c>
      <c r="Z14" s="41" t="str">
        <f t="shared" si="14"/>
        <v/>
      </c>
      <c r="AA14" s="42"/>
      <c r="AE14" s="134" t="str">
        <f>初期条件設定表!U8</f>
        <v>目標仕様</v>
      </c>
      <c r="AF14" s="163" t="str">
        <f>初期条件設定表!V8</f>
        <v>システム要件定義</v>
      </c>
    </row>
    <row r="15" spans="1:42" ht="45.9" customHeight="1">
      <c r="A15" s="85">
        <f t="shared" si="8"/>
        <v>46336</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46336</v>
      </c>
      <c r="Z15" s="41" t="str">
        <f t="shared" si="14"/>
        <v/>
      </c>
      <c r="AA15" s="42"/>
      <c r="AE15" s="134" t="str">
        <f>初期条件設定表!U9</f>
        <v>プログラミング</v>
      </c>
      <c r="AF15" s="163" t="str">
        <f>初期条件設定表!V9</f>
        <v>システムテスト</v>
      </c>
    </row>
    <row r="16" spans="1:42" ht="45.9" customHeight="1">
      <c r="A16" s="85">
        <f t="shared" si="8"/>
        <v>46337</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46337</v>
      </c>
      <c r="Z16" s="41" t="str">
        <f t="shared" si="14"/>
        <v/>
      </c>
      <c r="AA16" s="42"/>
      <c r="AE16" s="134" t="str">
        <f>初期条件設定表!U10</f>
        <v>試作</v>
      </c>
      <c r="AF16" s="163" t="str">
        <f>初期条件設定表!V10</f>
        <v>システム方式設計</v>
      </c>
    </row>
    <row r="17" spans="1:32" ht="45.9" customHeight="1">
      <c r="A17" s="85">
        <f t="shared" si="8"/>
        <v>46338</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46338</v>
      </c>
      <c r="Z17" s="41" t="str">
        <f t="shared" si="14"/>
        <v/>
      </c>
      <c r="AA17" s="42"/>
      <c r="AE17" s="134" t="str">
        <f>初期条件設定表!U11</f>
        <v>単体テスト</v>
      </c>
      <c r="AF17" s="163" t="str">
        <f>初期条件設定表!V11</f>
        <v>システム結合</v>
      </c>
    </row>
    <row r="18" spans="1:32" ht="45.9" customHeight="1">
      <c r="A18" s="85">
        <f t="shared" si="8"/>
        <v>46339</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46339</v>
      </c>
      <c r="Z18" s="41" t="str">
        <f t="shared" si="14"/>
        <v/>
      </c>
      <c r="AA18" s="42"/>
      <c r="AE18" s="134" t="str">
        <f>初期条件設定表!U12</f>
        <v>総合テスト</v>
      </c>
      <c r="AF18" s="163" t="str">
        <f>初期条件設定表!V12</f>
        <v>ソフトウェア設計</v>
      </c>
    </row>
    <row r="19" spans="1:32" ht="45.9" customHeight="1">
      <c r="A19" s="85">
        <f t="shared" si="8"/>
        <v>46342</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46342</v>
      </c>
      <c r="Z19" s="41" t="str">
        <f t="shared" si="14"/>
        <v/>
      </c>
      <c r="AA19" s="42"/>
      <c r="AE19" s="134" t="str">
        <f>初期条件設定表!U13</f>
        <v xml:space="preserve"> </v>
      </c>
      <c r="AF19" s="163" t="str">
        <f>初期条件設定表!V13</f>
        <v>ソフトウェアテスト</v>
      </c>
    </row>
    <row r="20" spans="1:32" ht="45.9" customHeight="1">
      <c r="A20" s="85">
        <f t="shared" si="8"/>
        <v>46343</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46343</v>
      </c>
      <c r="Z20" s="41" t="str">
        <f t="shared" si="14"/>
        <v/>
      </c>
      <c r="AA20" s="42"/>
      <c r="AE20" s="134" t="str">
        <f>初期条件設定表!U14</f>
        <v xml:space="preserve"> </v>
      </c>
      <c r="AF20" s="163" t="str">
        <f>初期条件設定表!V14</f>
        <v>プログラミング</v>
      </c>
    </row>
    <row r="21" spans="1:32" ht="45.9" customHeight="1">
      <c r="A21" s="85">
        <f t="shared" si="8"/>
        <v>46344</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46344</v>
      </c>
      <c r="Z21" s="41" t="str">
        <f t="shared" si="14"/>
        <v/>
      </c>
      <c r="AA21" s="42"/>
      <c r="AE21" s="134" t="str">
        <f>初期条件設定表!U15</f>
        <v xml:space="preserve"> </v>
      </c>
      <c r="AF21" s="163" t="str">
        <f>初期条件設定表!V15</f>
        <v>デバッグ</v>
      </c>
    </row>
    <row r="22" spans="1:32" ht="45.9" customHeight="1">
      <c r="A22" s="85">
        <f t="shared" si="8"/>
        <v>46345</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46345</v>
      </c>
      <c r="Z22" s="41" t="str">
        <f t="shared" si="14"/>
        <v/>
      </c>
      <c r="AA22" s="42"/>
      <c r="AE22" s="134" t="str">
        <f>初期条件設定表!U16</f>
        <v xml:space="preserve"> </v>
      </c>
      <c r="AF22" s="163" t="str">
        <f>初期条件設定表!V16</f>
        <v>要求仕様書作成</v>
      </c>
    </row>
    <row r="23" spans="1:32" ht="45.9" customHeight="1">
      <c r="A23" s="85">
        <f t="shared" si="8"/>
        <v>46346</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46346</v>
      </c>
      <c r="Z23" s="41" t="str">
        <f t="shared" si="14"/>
        <v/>
      </c>
      <c r="AA23" s="42"/>
      <c r="AE23" s="134" t="str">
        <f>初期条件設定表!U17</f>
        <v xml:space="preserve"> </v>
      </c>
      <c r="AF23" s="163" t="str">
        <f>初期条件設定表!V17</f>
        <v>製図</v>
      </c>
    </row>
    <row r="24" spans="1:32" ht="45.9" customHeight="1">
      <c r="A24" s="85">
        <f t="shared" si="8"/>
        <v>46349</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46349</v>
      </c>
      <c r="Z24" s="41" t="str">
        <f t="shared" si="14"/>
        <v/>
      </c>
      <c r="AA24" s="42"/>
      <c r="AE24" s="134" t="str">
        <f>初期条件設定表!U18</f>
        <v xml:space="preserve"> </v>
      </c>
      <c r="AF24" s="163" t="str">
        <f>初期条件設定表!V18</f>
        <v>シミュレーション</v>
      </c>
    </row>
    <row r="25" spans="1:32" ht="45.9" customHeight="1">
      <c r="A25" s="85">
        <f t="shared" si="8"/>
        <v>46350</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46350</v>
      </c>
      <c r="Z25" s="41" t="str">
        <f t="shared" si="14"/>
        <v/>
      </c>
      <c r="AA25" s="42"/>
      <c r="AE25" s="134" t="str">
        <f>初期条件設定表!U19</f>
        <v xml:space="preserve"> </v>
      </c>
      <c r="AF25" s="163" t="str">
        <f>初期条件設定表!V19</f>
        <v>製造・加工</v>
      </c>
    </row>
    <row r="26" spans="1:32" ht="45.9" customHeight="1">
      <c r="A26" s="85">
        <f t="shared" si="8"/>
        <v>46351</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46351</v>
      </c>
      <c r="Z26" s="41" t="str">
        <f t="shared" si="14"/>
        <v/>
      </c>
      <c r="AA26" s="42"/>
      <c r="AE26" s="134" t="str">
        <f>初期条件設定表!U20</f>
        <v xml:space="preserve"> </v>
      </c>
      <c r="AF26" s="163" t="str">
        <f>初期条件設定表!V20</f>
        <v>組み立て</v>
      </c>
    </row>
    <row r="27" spans="1:32" ht="45.9" customHeight="1">
      <c r="A27" s="85">
        <f t="shared" si="8"/>
        <v>46352</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46352</v>
      </c>
      <c r="Z27" s="41" t="str">
        <f t="shared" si="14"/>
        <v/>
      </c>
      <c r="AA27" s="42"/>
      <c r="AE27" s="134" t="str">
        <f>初期条件設定表!U21</f>
        <v xml:space="preserve"> </v>
      </c>
      <c r="AF27" s="163" t="str">
        <f>初期条件設定表!V21</f>
        <v>動作・性能試験</v>
      </c>
    </row>
    <row r="28" spans="1:32" ht="45.9" customHeight="1">
      <c r="A28" s="85">
        <f t="shared" si="8"/>
        <v>46353</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46353</v>
      </c>
      <c r="Z28" s="41" t="str">
        <f t="shared" si="14"/>
        <v/>
      </c>
      <c r="AA28" s="42"/>
      <c r="AE28" s="134" t="str">
        <f>初期条件設定表!U22</f>
        <v xml:space="preserve"> </v>
      </c>
      <c r="AF28" s="163" t="str">
        <f>初期条件設定表!V22</f>
        <v>○○</v>
      </c>
    </row>
    <row r="29" spans="1:32" ht="45.9" customHeight="1">
      <c r="A29" s="85">
        <f t="shared" si="8"/>
        <v>46356</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46356</v>
      </c>
      <c r="Z29" s="41" t="str">
        <f t="shared" si="14"/>
        <v/>
      </c>
      <c r="AA29" s="42"/>
      <c r="AE29" s="134" t="str">
        <f>初期条件設定表!U23</f>
        <v xml:space="preserve"> </v>
      </c>
      <c r="AF29" s="163" t="str">
        <f>初期条件設定表!V23</f>
        <v>○○</v>
      </c>
    </row>
    <row r="30" spans="1:32" ht="45.9" customHeight="1">
      <c r="A30" s="85" t="str">
        <f t="shared" si="8"/>
        <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82"/>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mergeCells count="27">
    <mergeCell ref="D1:N2"/>
    <mergeCell ref="AD1:AD5"/>
    <mergeCell ref="B3:D3"/>
    <mergeCell ref="E3:N5"/>
    <mergeCell ref="B4:D4"/>
    <mergeCell ref="B5:D5"/>
    <mergeCell ref="J6:N6"/>
    <mergeCell ref="AH6:AI6"/>
    <mergeCell ref="A7:A8"/>
    <mergeCell ref="B7:D8"/>
    <mergeCell ref="E7:H8"/>
    <mergeCell ref="I7:I8"/>
    <mergeCell ref="J7:J8"/>
    <mergeCell ref="K7:L8"/>
    <mergeCell ref="M7:N7"/>
    <mergeCell ref="O7:O8"/>
    <mergeCell ref="V7:V8"/>
    <mergeCell ref="W7:W8"/>
    <mergeCell ref="R7:R8"/>
    <mergeCell ref="S7:S8"/>
    <mergeCell ref="T7:T8"/>
    <mergeCell ref="U7:U8"/>
    <mergeCell ref="B36:D36"/>
    <mergeCell ref="E36:F36"/>
    <mergeCell ref="G36:H36"/>
    <mergeCell ref="P7:P8"/>
    <mergeCell ref="Q7:Q8"/>
  </mergeCells>
  <phoneticPr fontId="3"/>
  <dataValidations count="5">
    <dataValidation type="list" allowBlank="1" showInputMessage="1" showErrorMessage="1" sqref="M9:M32" xr:uid="{A850C9BA-5EC6-47D9-BE95-710B830BBFEF}">
      <formula1>$AE$11:$AE$18</formula1>
    </dataValidation>
    <dataValidation type="list" allowBlank="1" showInputMessage="1" showErrorMessage="1" sqref="N33:N35" xr:uid="{CE2CAA45-8C52-4E76-B2C6-B9CFF8171816}">
      <formula1>$AF$11:$AF$16</formula1>
    </dataValidation>
    <dataValidation type="list" allowBlank="1" showInputMessage="1" showErrorMessage="1" sqref="M33:M35" xr:uid="{477BD1A4-C35F-4698-B96A-7C5CEC225198}">
      <formula1>$AE$11:$AE$20</formula1>
    </dataValidation>
    <dataValidation type="list" allowBlank="1" showInputMessage="1" showErrorMessage="1" sqref="N9:N32" xr:uid="{6847715A-85F3-4BBB-8889-615DB15FF6CD}">
      <formula1>$AF$11:$AF$32</formula1>
    </dataValidation>
    <dataValidation type="time" allowBlank="1" showInputMessage="1" showErrorMessage="1" sqref="D9:D35 B9:B35" xr:uid="{E8BDD40C-71F0-4D18-905A-41E68C18328E}">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39997558519241921"/>
  </sheetPr>
  <dimension ref="A1:H5"/>
  <sheetViews>
    <sheetView zoomScale="85" zoomScaleNormal="85" workbookViewId="0">
      <selection sqref="A1:D1"/>
    </sheetView>
  </sheetViews>
  <sheetFormatPr defaultColWidth="9" defaultRowHeight="13"/>
  <cols>
    <col min="1" max="1" width="4.453125" style="52" customWidth="1"/>
    <col min="2" max="2" width="42.08984375" style="52" customWidth="1"/>
    <col min="3" max="3" width="69.26953125" style="52" bestFit="1" customWidth="1"/>
    <col min="4" max="4" width="29.453125" style="52" customWidth="1"/>
    <col min="5" max="5" width="2" style="52" customWidth="1"/>
    <col min="6" max="8" width="9" style="52" hidden="1" customWidth="1"/>
    <col min="9" max="16384" width="9" style="52"/>
  </cols>
  <sheetData>
    <row r="1" spans="1:4" ht="24.75" customHeight="1">
      <c r="A1" s="287" t="s">
        <v>144</v>
      </c>
      <c r="B1" s="287"/>
      <c r="C1" s="287"/>
      <c r="D1" s="287"/>
    </row>
    <row r="2" spans="1:4" ht="24.75" customHeight="1">
      <c r="A2" s="224"/>
      <c r="B2" s="224"/>
      <c r="C2" s="224"/>
      <c r="D2" s="224"/>
    </row>
    <row r="3" spans="1:4" ht="24.75" customHeight="1">
      <c r="A3" s="224"/>
      <c r="B3" s="224"/>
      <c r="C3" s="224"/>
      <c r="D3" s="224"/>
    </row>
    <row r="4" spans="1:4" ht="15.75" customHeight="1">
      <c r="C4" s="84"/>
      <c r="D4" s="74"/>
    </row>
    <row r="5" spans="1:4" ht="15.75" customHeight="1">
      <c r="D5" s="74"/>
    </row>
  </sheetData>
  <sheetProtection sheet="1" objects="1" scenarios="1" selectLockedCells="1" selectUnlockedCell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0000"/>
  </sheetPr>
  <dimension ref="B1:W51"/>
  <sheetViews>
    <sheetView view="pageBreakPreview" zoomScale="85" zoomScaleNormal="100" zoomScaleSheetLayoutView="85" workbookViewId="0">
      <selection activeCell="B1" sqref="B1:K1"/>
    </sheetView>
  </sheetViews>
  <sheetFormatPr defaultRowHeight="13"/>
  <cols>
    <col min="1" max="1" width="3.26953125" customWidth="1"/>
    <col min="2" max="2" width="13.08984375" customWidth="1"/>
    <col min="3" max="10" width="8.7265625" customWidth="1"/>
    <col min="11" max="12" width="10.7265625" customWidth="1"/>
    <col min="13" max="13" width="10.26953125" hidden="1" customWidth="1"/>
    <col min="14" max="14" width="6.08984375" hidden="1" customWidth="1"/>
    <col min="15" max="15" width="3.453125" hidden="1" customWidth="1"/>
    <col min="16" max="17" width="9" hidden="1" customWidth="1"/>
    <col min="18" max="18" width="7" hidden="1" customWidth="1"/>
    <col min="19" max="19" width="4.08984375" hidden="1" customWidth="1"/>
    <col min="20" max="20" width="7" hidden="1" customWidth="1"/>
    <col min="21" max="21" width="18.81640625" hidden="1" customWidth="1"/>
    <col min="22" max="22" width="15.26953125" hidden="1" customWidth="1"/>
    <col min="23" max="23" width="12.453125" hidden="1" customWidth="1"/>
    <col min="24" max="26" width="10.7265625" customWidth="1"/>
  </cols>
  <sheetData>
    <row r="1" spans="2:23" ht="27" customHeight="1" thickBot="1">
      <c r="B1" s="300" t="s">
        <v>136</v>
      </c>
      <c r="C1" s="300"/>
      <c r="D1" s="300"/>
      <c r="E1" s="300"/>
      <c r="F1" s="300"/>
      <c r="G1" s="300"/>
      <c r="H1" s="300"/>
      <c r="I1" s="300"/>
      <c r="J1" s="300"/>
      <c r="K1" s="300"/>
      <c r="M1" s="296" t="s">
        <v>80</v>
      </c>
      <c r="N1" s="297"/>
      <c r="O1" s="297"/>
      <c r="P1" s="297"/>
      <c r="Q1" s="297"/>
      <c r="R1" s="297"/>
      <c r="S1" s="297"/>
      <c r="T1" s="297"/>
      <c r="U1" s="298"/>
      <c r="V1" s="298"/>
      <c r="W1" s="299"/>
    </row>
    <row r="2" spans="2:23" ht="20.25" customHeight="1">
      <c r="B2" s="301" t="s">
        <v>98</v>
      </c>
      <c r="C2" s="301"/>
      <c r="D2" s="301"/>
      <c r="E2" s="301"/>
      <c r="F2" s="301"/>
      <c r="G2" s="301"/>
      <c r="H2" s="301"/>
      <c r="I2" s="301"/>
      <c r="J2" s="301"/>
      <c r="K2" s="301"/>
      <c r="M2" s="47"/>
      <c r="N2" s="51" t="s">
        <v>11</v>
      </c>
      <c r="O2" s="51" t="s">
        <v>12</v>
      </c>
      <c r="P2" s="51" t="s">
        <v>82</v>
      </c>
      <c r="Q2" s="48" t="s">
        <v>76</v>
      </c>
      <c r="R2" s="51" t="s">
        <v>81</v>
      </c>
      <c r="S2" s="51" t="s">
        <v>137</v>
      </c>
      <c r="T2" s="51" t="s">
        <v>99</v>
      </c>
      <c r="U2" s="186" t="s">
        <v>117</v>
      </c>
      <c r="V2" s="186" t="s">
        <v>121</v>
      </c>
      <c r="W2" s="187"/>
    </row>
    <row r="3" spans="2:23" ht="20.25" customHeight="1">
      <c r="B3" s="302"/>
      <c r="C3" s="302"/>
      <c r="D3" s="302"/>
      <c r="E3" s="302"/>
      <c r="F3" s="302"/>
      <c r="G3" s="302"/>
      <c r="H3" s="302"/>
      <c r="I3" s="302"/>
      <c r="J3" s="302"/>
      <c r="K3" s="302"/>
      <c r="M3" s="47"/>
      <c r="N3" s="51"/>
      <c r="O3" s="51"/>
      <c r="P3" s="51"/>
      <c r="Q3" s="48"/>
      <c r="R3" s="51"/>
      <c r="S3" s="51"/>
      <c r="T3" s="51"/>
      <c r="U3" s="171"/>
      <c r="V3" s="171"/>
      <c r="W3" s="187"/>
    </row>
    <row r="4" spans="2:23" ht="20.25" customHeight="1">
      <c r="B4" s="302"/>
      <c r="C4" s="302"/>
      <c r="D4" s="302"/>
      <c r="E4" s="302"/>
      <c r="F4" s="302"/>
      <c r="G4" s="302"/>
      <c r="H4" s="302"/>
      <c r="I4" s="302"/>
      <c r="J4" s="302"/>
      <c r="K4" s="302"/>
      <c r="M4" s="47"/>
      <c r="N4" s="51"/>
      <c r="O4" s="51"/>
      <c r="P4" s="51"/>
      <c r="Q4" s="48"/>
      <c r="R4" s="51"/>
      <c r="S4" s="51"/>
      <c r="T4" s="51"/>
      <c r="U4" s="171"/>
      <c r="V4" s="171"/>
      <c r="W4" s="187"/>
    </row>
    <row r="5" spans="2:23" s="52" customFormat="1" ht="20.25" customHeight="1">
      <c r="B5" s="131" t="s">
        <v>86</v>
      </c>
      <c r="M5" s="47">
        <v>1</v>
      </c>
      <c r="N5" s="251">
        <v>2025</v>
      </c>
      <c r="O5" s="228">
        <v>1</v>
      </c>
      <c r="P5" s="229" t="s">
        <v>70</v>
      </c>
      <c r="Q5" s="234" t="str">
        <f>IF(C18="","",C18)&amp;IF(OR(C19="",C19=C18),"",C19)&amp;IF(OR(C20="",C20=C19,C20=C18),"",C20)</f>
        <v>土日</v>
      </c>
      <c r="R5" s="229" t="s">
        <v>124</v>
      </c>
      <c r="S5" s="229">
        <v>1</v>
      </c>
      <c r="T5" s="235" t="s">
        <v>102</v>
      </c>
      <c r="U5" s="236" t="s">
        <v>118</v>
      </c>
      <c r="V5" s="236" t="s">
        <v>118</v>
      </c>
      <c r="W5" s="188"/>
    </row>
    <row r="6" spans="2:23" s="52" customFormat="1" ht="20.25" customHeight="1">
      <c r="B6" s="54" t="s">
        <v>27</v>
      </c>
      <c r="C6" s="293" t="s">
        <v>114</v>
      </c>
      <c r="D6" s="294"/>
      <c r="E6" s="294"/>
      <c r="F6" s="294"/>
      <c r="G6" s="295"/>
      <c r="M6" s="47">
        <v>2</v>
      </c>
      <c r="N6" s="252">
        <v>2026</v>
      </c>
      <c r="O6" s="230">
        <v>2</v>
      </c>
      <c r="P6" s="231" t="s">
        <v>36</v>
      </c>
      <c r="Q6" s="48"/>
      <c r="R6" s="231">
        <v>1</v>
      </c>
      <c r="S6" s="231">
        <v>2</v>
      </c>
      <c r="T6" s="237" t="s">
        <v>100</v>
      </c>
      <c r="U6" s="238" t="s">
        <v>152</v>
      </c>
      <c r="V6" s="238" t="str">
        <f t="shared" ref="V6:V15" si="0">C30</f>
        <v>要件定義</v>
      </c>
      <c r="W6" s="188"/>
    </row>
    <row r="7" spans="2:23" s="52" customFormat="1" ht="20.25" customHeight="1">
      <c r="B7" s="54" t="s">
        <v>85</v>
      </c>
      <c r="C7" s="293" t="s">
        <v>145</v>
      </c>
      <c r="D7" s="294"/>
      <c r="E7" s="294"/>
      <c r="F7" s="294"/>
      <c r="G7" s="295"/>
      <c r="M7" s="47">
        <v>3</v>
      </c>
      <c r="N7" s="252">
        <v>2027</v>
      </c>
      <c r="O7" s="230">
        <v>3</v>
      </c>
      <c r="P7" s="231" t="s">
        <v>66</v>
      </c>
      <c r="Q7" s="48"/>
      <c r="R7" s="231">
        <v>2</v>
      </c>
      <c r="S7" s="231">
        <v>3</v>
      </c>
      <c r="T7" s="170"/>
      <c r="U7" s="238" t="s">
        <v>153</v>
      </c>
      <c r="V7" s="238" t="str">
        <f t="shared" si="0"/>
        <v>運用テスト</v>
      </c>
      <c r="W7" s="188"/>
    </row>
    <row r="8" spans="2:23" s="52" customFormat="1" ht="20.25" customHeight="1">
      <c r="M8" s="47">
        <v>4</v>
      </c>
      <c r="N8" s="249"/>
      <c r="O8" s="230">
        <v>4</v>
      </c>
      <c r="P8" s="231" t="s">
        <v>74</v>
      </c>
      <c r="Q8" s="48"/>
      <c r="R8" s="231">
        <v>3</v>
      </c>
      <c r="S8" s="231">
        <v>4</v>
      </c>
      <c r="T8" s="170"/>
      <c r="U8" s="238" t="s">
        <v>154</v>
      </c>
      <c r="V8" s="238" t="str">
        <f t="shared" si="0"/>
        <v>システム要件定義</v>
      </c>
      <c r="W8" s="188"/>
    </row>
    <row r="9" spans="2:23" s="52" customFormat="1" ht="20.25" customHeight="1">
      <c r="B9" s="131" t="s">
        <v>57</v>
      </c>
      <c r="M9" s="47">
        <v>5</v>
      </c>
      <c r="N9" s="250"/>
      <c r="O9" s="230">
        <v>5</v>
      </c>
      <c r="P9" s="231" t="s">
        <v>67</v>
      </c>
      <c r="Q9" s="48"/>
      <c r="R9" s="231">
        <v>4</v>
      </c>
      <c r="S9" s="231">
        <v>5</v>
      </c>
      <c r="T9" s="170"/>
      <c r="U9" s="238" t="s">
        <v>119</v>
      </c>
      <c r="V9" s="238" t="str">
        <f t="shared" si="0"/>
        <v>システムテスト</v>
      </c>
      <c r="W9" s="188"/>
    </row>
    <row r="10" spans="2:23" s="52" customFormat="1" ht="20.25" customHeight="1">
      <c r="B10" s="54" t="s">
        <v>37</v>
      </c>
      <c r="C10" s="269">
        <v>0.375</v>
      </c>
      <c r="E10" s="55"/>
      <c r="F10" s="75" t="s">
        <v>43</v>
      </c>
      <c r="M10" s="47">
        <v>6</v>
      </c>
      <c r="N10" s="250"/>
      <c r="O10" s="230">
        <v>6</v>
      </c>
      <c r="P10" s="231" t="s">
        <v>68</v>
      </c>
      <c r="Q10" s="48"/>
      <c r="R10" s="231">
        <v>5</v>
      </c>
      <c r="S10" s="231">
        <v>6</v>
      </c>
      <c r="T10" s="170"/>
      <c r="U10" s="238" t="s">
        <v>155</v>
      </c>
      <c r="V10" s="238" t="str">
        <f t="shared" si="0"/>
        <v>システム方式設計</v>
      </c>
      <c r="W10" s="188"/>
    </row>
    <row r="11" spans="2:23" s="52" customFormat="1" ht="20.25" customHeight="1">
      <c r="B11" s="54"/>
      <c r="C11" s="245"/>
      <c r="D11" s="246"/>
      <c r="E11" s="247"/>
      <c r="F11" s="75"/>
      <c r="H11" s="292" t="s">
        <v>91</v>
      </c>
      <c r="I11" s="292"/>
      <c r="J11" s="292"/>
      <c r="M11" s="47">
        <v>7</v>
      </c>
      <c r="N11" s="250"/>
      <c r="O11" s="230">
        <v>7</v>
      </c>
      <c r="P11" s="231" t="s">
        <v>69</v>
      </c>
      <c r="Q11" s="48"/>
      <c r="R11" s="231">
        <v>6</v>
      </c>
      <c r="S11" s="231">
        <v>7</v>
      </c>
      <c r="T11" s="170"/>
      <c r="U11" s="238" t="s">
        <v>156</v>
      </c>
      <c r="V11" s="238" t="str">
        <f t="shared" si="0"/>
        <v>システム結合</v>
      </c>
      <c r="W11" s="188"/>
    </row>
    <row r="12" spans="2:23" s="52" customFormat="1" ht="20.25" customHeight="1">
      <c r="B12" s="54" t="s">
        <v>38</v>
      </c>
      <c r="C12" s="269">
        <v>0.5</v>
      </c>
      <c r="D12" s="53" t="s">
        <v>24</v>
      </c>
      <c r="E12" s="269">
        <v>0.54166666666666663</v>
      </c>
      <c r="F12" s="75" t="s">
        <v>44</v>
      </c>
      <c r="H12" s="292" t="s">
        <v>90</v>
      </c>
      <c r="I12" s="292"/>
      <c r="J12" s="292"/>
      <c r="M12" s="47">
        <v>8</v>
      </c>
      <c r="N12" s="250"/>
      <c r="O12" s="230">
        <v>8</v>
      </c>
      <c r="P12" s="233"/>
      <c r="Q12" s="48"/>
      <c r="R12" s="231">
        <v>7</v>
      </c>
      <c r="S12" s="231">
        <v>8</v>
      </c>
      <c r="T12" s="170"/>
      <c r="U12" s="238" t="s">
        <v>157</v>
      </c>
      <c r="V12" s="238" t="str">
        <f t="shared" si="0"/>
        <v>ソフトウェア設計</v>
      </c>
      <c r="W12" s="188"/>
    </row>
    <row r="13" spans="2:23" s="52" customFormat="1" ht="20.25" customHeight="1">
      <c r="B13" s="54"/>
      <c r="C13" s="245"/>
      <c r="D13" s="246"/>
      <c r="E13" s="248"/>
      <c r="F13" s="75"/>
      <c r="H13" s="292" t="s">
        <v>92</v>
      </c>
      <c r="I13" s="292"/>
      <c r="J13" s="292"/>
      <c r="M13" s="47">
        <v>9</v>
      </c>
      <c r="N13" s="250"/>
      <c r="O13" s="230">
        <v>9</v>
      </c>
      <c r="P13" s="48"/>
      <c r="Q13" s="48"/>
      <c r="R13" s="231">
        <v>8</v>
      </c>
      <c r="S13" s="231">
        <v>9</v>
      </c>
      <c r="T13" s="170"/>
      <c r="U13" s="238" t="s">
        <v>158</v>
      </c>
      <c r="V13" s="238" t="str">
        <f t="shared" si="0"/>
        <v>ソフトウェアテスト</v>
      </c>
      <c r="W13" s="188"/>
    </row>
    <row r="14" spans="2:23" s="52" customFormat="1" ht="20.25" customHeight="1">
      <c r="B14" s="54" t="s">
        <v>39</v>
      </c>
      <c r="C14" s="269">
        <v>0.75</v>
      </c>
      <c r="E14" s="55"/>
      <c r="F14" s="75" t="s">
        <v>45</v>
      </c>
      <c r="M14" s="47">
        <v>10</v>
      </c>
      <c r="N14" s="250"/>
      <c r="O14" s="230">
        <v>10</v>
      </c>
      <c r="P14" s="48"/>
      <c r="Q14" s="48"/>
      <c r="R14" s="231">
        <v>9</v>
      </c>
      <c r="S14" s="231">
        <v>10</v>
      </c>
      <c r="T14" s="170"/>
      <c r="U14" s="238" t="s">
        <v>158</v>
      </c>
      <c r="V14" s="238" t="str">
        <f t="shared" si="0"/>
        <v>プログラミング</v>
      </c>
      <c r="W14" s="188"/>
    </row>
    <row r="15" spans="2:23" s="52" customFormat="1" ht="20.25" customHeight="1">
      <c r="B15" s="54" t="s">
        <v>108</v>
      </c>
      <c r="C15" s="269">
        <v>0.33333333333333331</v>
      </c>
      <c r="E15" s="75"/>
      <c r="M15" s="47">
        <v>11</v>
      </c>
      <c r="N15" s="48"/>
      <c r="O15" s="230">
        <v>11</v>
      </c>
      <c r="P15" s="48"/>
      <c r="Q15" s="48"/>
      <c r="R15" s="231">
        <v>10</v>
      </c>
      <c r="S15" s="231">
        <v>11</v>
      </c>
      <c r="T15" s="170"/>
      <c r="U15" s="238" t="s">
        <v>158</v>
      </c>
      <c r="V15" s="238" t="str">
        <f t="shared" si="0"/>
        <v>デバッグ</v>
      </c>
      <c r="W15" s="188"/>
    </row>
    <row r="16" spans="2:23" s="52" customFormat="1" ht="20.25" customHeight="1">
      <c r="M16" s="47">
        <v>12</v>
      </c>
      <c r="N16" s="48"/>
      <c r="O16" s="232">
        <v>12</v>
      </c>
      <c r="P16" s="48"/>
      <c r="Q16" s="48"/>
      <c r="R16" s="231">
        <v>11</v>
      </c>
      <c r="S16" s="231">
        <v>12</v>
      </c>
      <c r="T16" s="170"/>
      <c r="U16" s="238" t="s">
        <v>120</v>
      </c>
      <c r="V16" s="238" t="str">
        <f t="shared" ref="V16:V25" si="1">H30</f>
        <v>要求仕様書作成</v>
      </c>
      <c r="W16" s="188"/>
    </row>
    <row r="17" spans="2:23" s="52" customFormat="1" ht="20.25" customHeight="1">
      <c r="B17" s="133" t="s">
        <v>87</v>
      </c>
      <c r="C17" s="13"/>
      <c r="D17" s="13"/>
      <c r="E17" s="13"/>
      <c r="M17" s="47">
        <v>13</v>
      </c>
      <c r="N17" s="48"/>
      <c r="O17" s="48"/>
      <c r="P17" s="48"/>
      <c r="Q17" s="48"/>
      <c r="R17" s="231">
        <v>12</v>
      </c>
      <c r="S17" s="231">
        <v>13</v>
      </c>
      <c r="T17" s="170"/>
      <c r="U17" s="238" t="s">
        <v>120</v>
      </c>
      <c r="V17" s="238" t="str">
        <f t="shared" si="1"/>
        <v>製図</v>
      </c>
      <c r="W17" s="188"/>
    </row>
    <row r="18" spans="2:23" s="52" customFormat="1" ht="20.25" customHeight="1">
      <c r="B18" s="46" t="s">
        <v>71</v>
      </c>
      <c r="C18" s="270" t="s">
        <v>70</v>
      </c>
      <c r="D18" s="24"/>
      <c r="E18" s="73" t="s">
        <v>75</v>
      </c>
      <c r="M18" s="47">
        <v>14</v>
      </c>
      <c r="N18" s="48"/>
      <c r="O18" s="48"/>
      <c r="P18" s="48"/>
      <c r="Q18" s="48"/>
      <c r="R18" s="231">
        <v>13</v>
      </c>
      <c r="S18" s="231">
        <v>14</v>
      </c>
      <c r="T18" s="170"/>
      <c r="U18" s="238" t="s">
        <v>120</v>
      </c>
      <c r="V18" s="238" t="str">
        <f t="shared" si="1"/>
        <v>シミュレーション</v>
      </c>
      <c r="W18" s="188"/>
    </row>
    <row r="19" spans="2:23" s="52" customFormat="1" ht="20.25" customHeight="1">
      <c r="B19" s="39" t="s">
        <v>72</v>
      </c>
      <c r="C19" s="270" t="s">
        <v>36</v>
      </c>
      <c r="D19" s="12"/>
      <c r="E19" s="73" t="s">
        <v>89</v>
      </c>
      <c r="M19" s="47">
        <v>15</v>
      </c>
      <c r="N19" s="48"/>
      <c r="O19" s="48"/>
      <c r="P19" s="48"/>
      <c r="Q19" s="48"/>
      <c r="R19" s="231">
        <v>14</v>
      </c>
      <c r="S19" s="231">
        <v>15</v>
      </c>
      <c r="T19" s="170"/>
      <c r="U19" s="238" t="s">
        <v>120</v>
      </c>
      <c r="V19" s="238" t="str">
        <f t="shared" si="1"/>
        <v>製造・加工</v>
      </c>
      <c r="W19" s="188"/>
    </row>
    <row r="20" spans="2:23" s="52" customFormat="1" ht="20.25" customHeight="1">
      <c r="B20" s="46" t="s">
        <v>73</v>
      </c>
      <c r="C20" s="104"/>
      <c r="D20" s="24"/>
      <c r="E20" s="73" t="s">
        <v>88</v>
      </c>
      <c r="M20" s="47">
        <v>16</v>
      </c>
      <c r="N20" s="48"/>
      <c r="O20" s="48"/>
      <c r="P20" s="48"/>
      <c r="Q20" s="48"/>
      <c r="R20" s="231">
        <v>15</v>
      </c>
      <c r="S20" s="231">
        <v>16</v>
      </c>
      <c r="T20" s="170"/>
      <c r="U20" s="238" t="s">
        <v>120</v>
      </c>
      <c r="V20" s="238" t="str">
        <f t="shared" si="1"/>
        <v>組み立て</v>
      </c>
      <c r="W20" s="188"/>
    </row>
    <row r="21" spans="2:23" s="52" customFormat="1" ht="20.25" customHeight="1">
      <c r="B21" s="13"/>
      <c r="C21" s="73" t="s">
        <v>93</v>
      </c>
      <c r="D21" s="13"/>
      <c r="E21" s="13"/>
      <c r="M21" s="47">
        <v>17</v>
      </c>
      <c r="N21" s="48"/>
      <c r="O21" s="48"/>
      <c r="P21" s="48"/>
      <c r="Q21" s="48"/>
      <c r="R21" s="231">
        <v>16</v>
      </c>
      <c r="S21" s="231">
        <v>17</v>
      </c>
      <c r="T21" s="170"/>
      <c r="U21" s="238" t="s">
        <v>120</v>
      </c>
      <c r="V21" s="238" t="str">
        <f t="shared" si="1"/>
        <v>動作・性能試験</v>
      </c>
      <c r="W21" s="188"/>
    </row>
    <row r="22" spans="2:23" s="52" customFormat="1" ht="20.25" customHeight="1">
      <c r="B22" s="24"/>
      <c r="C22" s="259" t="s">
        <v>94</v>
      </c>
      <c r="D22" s="24"/>
      <c r="E22" s="24"/>
      <c r="M22" s="47">
        <v>18</v>
      </c>
      <c r="N22" s="48"/>
      <c r="O22" s="48"/>
      <c r="P22" s="48"/>
      <c r="Q22" s="48"/>
      <c r="R22" s="231">
        <v>17</v>
      </c>
      <c r="S22" s="231">
        <v>18</v>
      </c>
      <c r="T22" s="170"/>
      <c r="U22" s="238" t="s">
        <v>120</v>
      </c>
      <c r="V22" s="238" t="str">
        <f t="shared" si="1"/>
        <v>○○</v>
      </c>
      <c r="W22" s="188"/>
    </row>
    <row r="23" spans="2:23" s="52" customFormat="1" ht="20.25" customHeight="1">
      <c r="B23" s="132" t="s">
        <v>65</v>
      </c>
      <c r="C23" s="12"/>
      <c r="D23" s="12"/>
      <c r="E23" s="12"/>
      <c r="F23"/>
      <c r="G23"/>
      <c r="H23"/>
      <c r="I23"/>
      <c r="J23"/>
      <c r="M23" s="47">
        <v>19</v>
      </c>
      <c r="N23" s="48"/>
      <c r="O23" s="48"/>
      <c r="P23" s="48"/>
      <c r="Q23" s="48"/>
      <c r="R23" s="231">
        <v>18</v>
      </c>
      <c r="S23" s="231">
        <v>19</v>
      </c>
      <c r="T23" s="170"/>
      <c r="U23" s="238" t="s">
        <v>120</v>
      </c>
      <c r="V23" s="238" t="str">
        <f t="shared" si="1"/>
        <v>○○</v>
      </c>
      <c r="W23" s="188"/>
    </row>
    <row r="24" spans="2:23" s="52" customFormat="1" ht="20.25" customHeight="1">
      <c r="B24" s="39" t="s">
        <v>40</v>
      </c>
      <c r="C24" s="270" t="s">
        <v>124</v>
      </c>
      <c r="D24" s="12" t="s">
        <v>36</v>
      </c>
      <c r="E24" s="76" t="s">
        <v>161</v>
      </c>
      <c r="F24"/>
      <c r="G24"/>
      <c r="H24"/>
      <c r="I24"/>
      <c r="J24"/>
      <c r="M24" s="47">
        <v>20</v>
      </c>
      <c r="N24" s="48"/>
      <c r="O24" s="48"/>
      <c r="P24" s="48"/>
      <c r="Q24" s="48"/>
      <c r="R24" s="231">
        <v>19</v>
      </c>
      <c r="S24" s="231">
        <v>20</v>
      </c>
      <c r="T24" s="170"/>
      <c r="U24" s="238" t="s">
        <v>120</v>
      </c>
      <c r="V24" s="238" t="str">
        <f t="shared" si="1"/>
        <v>○○</v>
      </c>
      <c r="W24" s="188"/>
    </row>
    <row r="25" spans="2:23" s="52" customFormat="1" ht="20.25" customHeight="1">
      <c r="C25" s="75" t="s">
        <v>95</v>
      </c>
      <c r="M25" s="47">
        <v>21</v>
      </c>
      <c r="N25" s="48"/>
      <c r="O25" s="48"/>
      <c r="P25" s="48"/>
      <c r="Q25" s="48"/>
      <c r="R25" s="231">
        <v>20</v>
      </c>
      <c r="S25" s="231">
        <v>21</v>
      </c>
      <c r="T25" s="170"/>
      <c r="U25" s="238" t="s">
        <v>120</v>
      </c>
      <c r="V25" s="238" t="str">
        <f t="shared" si="1"/>
        <v>○○</v>
      </c>
      <c r="W25" s="188"/>
    </row>
    <row r="26" spans="2:23" s="52" customFormat="1" ht="20.25" customHeight="1">
      <c r="B26" s="54" t="s">
        <v>99</v>
      </c>
      <c r="C26" s="270" t="s">
        <v>100</v>
      </c>
      <c r="M26" s="47">
        <v>22</v>
      </c>
      <c r="N26" s="48"/>
      <c r="O26" s="48"/>
      <c r="P26" s="48"/>
      <c r="Q26" s="48"/>
      <c r="R26" s="231">
        <v>21</v>
      </c>
      <c r="S26" s="231">
        <v>22</v>
      </c>
      <c r="T26" s="170"/>
      <c r="U26" s="239" t="s">
        <v>120</v>
      </c>
      <c r="V26" s="239" t="s">
        <v>120</v>
      </c>
      <c r="W26" s="188"/>
    </row>
    <row r="27" spans="2:23" s="52" customFormat="1" ht="20.25" customHeight="1">
      <c r="C27" s="75" t="s">
        <v>101</v>
      </c>
      <c r="M27" s="47">
        <v>23</v>
      </c>
      <c r="N27" s="48"/>
      <c r="O27" s="48"/>
      <c r="P27" s="48"/>
      <c r="Q27" s="48"/>
      <c r="R27" s="231">
        <v>22</v>
      </c>
      <c r="S27" s="231">
        <v>23</v>
      </c>
      <c r="T27" s="170"/>
      <c r="U27" s="170"/>
      <c r="V27" s="170"/>
      <c r="W27" s="188"/>
    </row>
    <row r="28" spans="2:23" s="52" customFormat="1" ht="20.25" customHeight="1">
      <c r="C28" s="225" t="s">
        <v>163</v>
      </c>
      <c r="M28" s="47">
        <v>24</v>
      </c>
      <c r="N28" s="48"/>
      <c r="O28" s="48"/>
      <c r="P28" s="48"/>
      <c r="Q28" s="48"/>
      <c r="R28" s="231">
        <v>23</v>
      </c>
      <c r="S28" s="231">
        <v>24</v>
      </c>
      <c r="T28" s="170"/>
      <c r="U28" s="170"/>
      <c r="V28" s="170"/>
      <c r="W28" s="188"/>
    </row>
    <row r="29" spans="2:23" s="52" customFormat="1" ht="20.25" customHeight="1">
      <c r="B29" s="132" t="s">
        <v>122</v>
      </c>
      <c r="M29" s="47">
        <v>25</v>
      </c>
      <c r="N29" s="48"/>
      <c r="O29" s="48"/>
      <c r="P29" s="48"/>
      <c r="Q29" s="48"/>
      <c r="R29" s="231">
        <v>24</v>
      </c>
      <c r="S29" s="231">
        <v>25</v>
      </c>
      <c r="T29" s="170"/>
      <c r="U29" s="170"/>
      <c r="V29" s="170"/>
      <c r="W29" s="188"/>
    </row>
    <row r="30" spans="2:23" s="52" customFormat="1" ht="13.65" customHeight="1" thickBot="1">
      <c r="B30" s="52">
        <v>1</v>
      </c>
      <c r="C30" s="291" t="s">
        <v>164</v>
      </c>
      <c r="D30" s="291"/>
      <c r="E30" s="291"/>
      <c r="G30" s="52">
        <v>11</v>
      </c>
      <c r="H30" s="291" t="s">
        <v>173</v>
      </c>
      <c r="I30" s="291"/>
      <c r="J30" s="291"/>
      <c r="M30" s="47">
        <v>26</v>
      </c>
      <c r="N30" s="48"/>
      <c r="O30" s="48"/>
      <c r="P30" s="48"/>
      <c r="Q30" s="48"/>
      <c r="R30" s="231">
        <v>25</v>
      </c>
      <c r="S30" s="231">
        <v>26</v>
      </c>
      <c r="T30" s="170"/>
      <c r="U30" s="170"/>
      <c r="V30" s="170"/>
      <c r="W30" s="188"/>
    </row>
    <row r="31" spans="2:23" ht="13.65" customHeight="1" thickBot="1">
      <c r="B31" s="52">
        <v>2</v>
      </c>
      <c r="C31" s="291" t="s">
        <v>165</v>
      </c>
      <c r="D31" s="291"/>
      <c r="E31" s="291"/>
      <c r="F31" s="52"/>
      <c r="G31" s="52">
        <v>12</v>
      </c>
      <c r="H31" s="291" t="s">
        <v>174</v>
      </c>
      <c r="I31" s="291"/>
      <c r="J31" s="291"/>
      <c r="M31" s="47">
        <v>27</v>
      </c>
      <c r="N31" s="48"/>
      <c r="O31" s="48"/>
      <c r="P31" s="48"/>
      <c r="Q31" s="48"/>
      <c r="R31" s="231">
        <v>26</v>
      </c>
      <c r="S31" s="231">
        <v>27</v>
      </c>
      <c r="T31" s="170"/>
      <c r="U31" s="130">
        <f>IF(AND($N$39="",$P$39="",$R$39=""),"",DATE($N$39,$P$39,$R$39))</f>
        <v>46054</v>
      </c>
      <c r="V31" s="183"/>
      <c r="W31" s="187"/>
    </row>
    <row r="32" spans="2:23" ht="13.65" customHeight="1" thickBot="1">
      <c r="B32" s="52">
        <v>3</v>
      </c>
      <c r="C32" s="291" t="s">
        <v>166</v>
      </c>
      <c r="D32" s="291"/>
      <c r="E32" s="291"/>
      <c r="F32" s="52"/>
      <c r="G32" s="52">
        <v>13</v>
      </c>
      <c r="H32" s="291" t="s">
        <v>175</v>
      </c>
      <c r="I32" s="291"/>
      <c r="J32" s="291"/>
      <c r="M32" s="47">
        <v>28</v>
      </c>
      <c r="N32" s="48"/>
      <c r="O32" s="48"/>
      <c r="P32" s="48"/>
      <c r="Q32" s="48"/>
      <c r="R32" s="231">
        <v>27</v>
      </c>
      <c r="S32" s="231">
        <v>28</v>
      </c>
      <c r="T32" s="170"/>
      <c r="U32" s="126">
        <f>IF(AND($N$40="",$P$40="",$R$40=""),"",DATE($N$40,$P$40,$R$40))</f>
        <v>46630</v>
      </c>
      <c r="V32" s="222">
        <f>IF(W42="",1,IF(DATE(E42,G42,I42)&lt;=DATE(E47,G47,I47),1,0))</f>
        <v>0</v>
      </c>
      <c r="W32" s="187"/>
    </row>
    <row r="33" spans="2:23" ht="13.65" customHeight="1">
      <c r="B33" s="52">
        <v>4</v>
      </c>
      <c r="C33" s="291" t="s">
        <v>167</v>
      </c>
      <c r="D33" s="291"/>
      <c r="E33" s="291"/>
      <c r="F33" s="52"/>
      <c r="G33" s="52">
        <v>14</v>
      </c>
      <c r="H33" s="291" t="s">
        <v>176</v>
      </c>
      <c r="I33" s="291"/>
      <c r="J33" s="291"/>
      <c r="M33" s="47">
        <v>29</v>
      </c>
      <c r="N33" s="48"/>
      <c r="O33" s="48"/>
      <c r="P33" s="48"/>
      <c r="Q33" s="48"/>
      <c r="R33" s="231">
        <v>28</v>
      </c>
      <c r="S33" s="231">
        <v>29</v>
      </c>
      <c r="T33" s="170"/>
      <c r="U33" s="171"/>
      <c r="V33" s="171"/>
      <c r="W33" s="187"/>
    </row>
    <row r="34" spans="2:23" ht="13.65" customHeight="1">
      <c r="B34" s="52">
        <v>5</v>
      </c>
      <c r="C34" s="291" t="s">
        <v>168</v>
      </c>
      <c r="D34" s="291"/>
      <c r="E34" s="291"/>
      <c r="F34" s="52"/>
      <c r="G34" s="52">
        <v>15</v>
      </c>
      <c r="H34" s="291" t="s">
        <v>177</v>
      </c>
      <c r="I34" s="291"/>
      <c r="J34" s="291"/>
      <c r="M34" s="47">
        <v>30</v>
      </c>
      <c r="N34" s="48"/>
      <c r="O34" s="48"/>
      <c r="P34" s="48"/>
      <c r="Q34" s="48"/>
      <c r="R34" s="231"/>
      <c r="S34" s="231">
        <v>30</v>
      </c>
      <c r="T34" s="170"/>
      <c r="U34" s="171"/>
      <c r="V34" t="s">
        <v>142</v>
      </c>
      <c r="W34" s="187"/>
    </row>
    <row r="35" spans="2:23" ht="13.65" customHeight="1">
      <c r="B35" s="52">
        <v>6</v>
      </c>
      <c r="C35" s="291" t="s">
        <v>169</v>
      </c>
      <c r="D35" s="291"/>
      <c r="E35" s="291"/>
      <c r="G35" s="52">
        <v>16</v>
      </c>
      <c r="H35" s="291" t="s">
        <v>178</v>
      </c>
      <c r="I35" s="291"/>
      <c r="J35" s="291"/>
      <c r="M35" s="47">
        <v>31</v>
      </c>
      <c r="N35" s="48"/>
      <c r="O35" s="48"/>
      <c r="P35" s="48"/>
      <c r="Q35" s="48"/>
      <c r="R35" s="231"/>
      <c r="S35" s="231">
        <v>31</v>
      </c>
      <c r="T35" s="170"/>
      <c r="U35" s="171"/>
      <c r="V35" t="s">
        <v>141</v>
      </c>
      <c r="W35" s="187"/>
    </row>
    <row r="36" spans="2:23" ht="13.65" customHeight="1">
      <c r="B36" s="52">
        <v>7</v>
      </c>
      <c r="C36" s="291" t="s">
        <v>170</v>
      </c>
      <c r="D36" s="291"/>
      <c r="E36" s="291"/>
      <c r="G36" s="52">
        <v>17</v>
      </c>
      <c r="H36" s="291" t="s">
        <v>179</v>
      </c>
      <c r="I36" s="291"/>
      <c r="J36" s="291"/>
      <c r="M36" s="47">
        <v>32</v>
      </c>
      <c r="N36" s="48"/>
      <c r="O36" s="48"/>
      <c r="P36" s="48"/>
      <c r="Q36" s="48"/>
      <c r="R36" s="231"/>
      <c r="S36" s="231"/>
      <c r="T36" s="170"/>
      <c r="U36" s="171"/>
      <c r="V36" s="171"/>
      <c r="W36" s="187"/>
    </row>
    <row r="37" spans="2:23" ht="13.65" customHeight="1">
      <c r="B37" s="52">
        <v>8</v>
      </c>
      <c r="C37" s="291" t="s">
        <v>171</v>
      </c>
      <c r="D37" s="291"/>
      <c r="E37" s="291"/>
      <c r="G37" s="52">
        <v>18</v>
      </c>
      <c r="H37" s="291" t="s">
        <v>179</v>
      </c>
      <c r="I37" s="291"/>
      <c r="J37" s="291"/>
      <c r="M37" s="47">
        <v>33</v>
      </c>
      <c r="N37" s="48"/>
      <c r="O37" s="48"/>
      <c r="P37" s="48"/>
      <c r="Q37" s="48"/>
      <c r="R37" s="233"/>
      <c r="S37" s="233"/>
      <c r="T37" s="170"/>
      <c r="U37" s="171"/>
      <c r="V37" s="171"/>
      <c r="W37" s="187"/>
    </row>
    <row r="38" spans="2:23" ht="13.65" customHeight="1" thickBot="1">
      <c r="B38" s="52">
        <v>9</v>
      </c>
      <c r="C38" s="291" t="s">
        <v>119</v>
      </c>
      <c r="D38" s="291"/>
      <c r="E38" s="291"/>
      <c r="G38" s="52">
        <v>19</v>
      </c>
      <c r="H38" s="291" t="s">
        <v>179</v>
      </c>
      <c r="I38" s="291"/>
      <c r="J38" s="291"/>
      <c r="M38" s="47"/>
      <c r="N38" s="145"/>
      <c r="O38" s="48"/>
      <c r="P38" s="48"/>
      <c r="Q38" s="48"/>
      <c r="R38" s="48"/>
      <c r="S38" s="48"/>
      <c r="T38" s="48"/>
      <c r="U38" s="171"/>
      <c r="V38" s="171"/>
      <c r="W38" s="187"/>
    </row>
    <row r="39" spans="2:23" ht="13.65" customHeight="1" thickBot="1">
      <c r="B39" s="52">
        <v>10</v>
      </c>
      <c r="C39" s="291" t="s">
        <v>172</v>
      </c>
      <c r="D39" s="291"/>
      <c r="E39" s="291"/>
      <c r="G39" s="52">
        <v>20</v>
      </c>
      <c r="H39" s="291" t="s">
        <v>179</v>
      </c>
      <c r="I39" s="291"/>
      <c r="J39" s="291"/>
      <c r="M39" s="204" t="s">
        <v>133</v>
      </c>
      <c r="N39" s="227">
        <v>2026</v>
      </c>
      <c r="O39" s="48" t="s">
        <v>111</v>
      </c>
      <c r="P39" s="227">
        <v>2</v>
      </c>
      <c r="Q39" s="48" t="s">
        <v>112</v>
      </c>
      <c r="R39" s="227">
        <v>1</v>
      </c>
      <c r="S39" s="171" t="s">
        <v>36</v>
      </c>
      <c r="T39" s="171"/>
      <c r="U39" s="171" t="s">
        <v>125</v>
      </c>
      <c r="V39" s="171"/>
      <c r="W39" s="187"/>
    </row>
    <row r="40" spans="2:23">
      <c r="M40" s="208" t="s">
        <v>134</v>
      </c>
      <c r="N40" s="240">
        <f>E42</f>
        <v>2027</v>
      </c>
      <c r="O40" s="48" t="s">
        <v>111</v>
      </c>
      <c r="P40" s="240">
        <f>G42</f>
        <v>8</v>
      </c>
      <c r="Q40" s="48" t="s">
        <v>112</v>
      </c>
      <c r="R40" s="240">
        <f>I42</f>
        <v>31</v>
      </c>
      <c r="S40" s="171" t="s">
        <v>36</v>
      </c>
      <c r="T40" s="171"/>
      <c r="U40" s="171" t="s">
        <v>126</v>
      </c>
      <c r="V40" s="171"/>
      <c r="W40" s="187"/>
    </row>
    <row r="41" spans="2:23" ht="13.5" thickBot="1">
      <c r="B41" s="185" t="s">
        <v>123</v>
      </c>
      <c r="L41" s="109"/>
      <c r="M41" s="47"/>
      <c r="N41" s="184"/>
      <c r="O41" s="48"/>
      <c r="P41" s="171"/>
      <c r="Q41" s="48"/>
      <c r="R41" s="171"/>
      <c r="S41" s="171"/>
      <c r="T41" s="171"/>
      <c r="U41" s="171"/>
      <c r="V41" s="171"/>
      <c r="W41" s="226" t="s">
        <v>146</v>
      </c>
    </row>
    <row r="42" spans="2:23" ht="14" thickTop="1" thickBot="1">
      <c r="B42" s="171"/>
      <c r="C42" s="207" t="s">
        <v>135</v>
      </c>
      <c r="D42" s="170"/>
      <c r="E42" s="271">
        <v>2027</v>
      </c>
      <c r="F42" s="171" t="s">
        <v>11</v>
      </c>
      <c r="G42" s="271">
        <v>8</v>
      </c>
      <c r="H42" s="171" t="s">
        <v>12</v>
      </c>
      <c r="I42" s="271">
        <v>31</v>
      </c>
      <c r="J42" s="171" t="s">
        <v>36</v>
      </c>
      <c r="M42" s="47" t="s">
        <v>182</v>
      </c>
      <c r="O42">
        <v>1</v>
      </c>
      <c r="P42" s="288" t="str">
        <f>"報告期間："&amp;初期条件設定表!N39&amp;"年 "&amp;初期条件設定表!P39&amp;"月 ～ "&amp;初期条件設定表!N40&amp;"年 "&amp;初期条件設定表!P40&amp;"月まで（実績報告分）"</f>
        <v>報告期間：2026年 2月 ～ 2027年 8月まで（実績報告分）</v>
      </c>
      <c r="Q42" s="289"/>
      <c r="R42" s="289"/>
      <c r="S42" s="289"/>
      <c r="T42" s="289"/>
      <c r="U42" s="289"/>
      <c r="V42" s="290"/>
      <c r="W42" s="263" t="str">
        <f>E47&amp;"/"&amp;G47&amp;"/"&amp;I47</f>
        <v>2026/10/31</v>
      </c>
    </row>
    <row r="43" spans="2:23" ht="14" thickTop="1" thickBot="1">
      <c r="M43" s="47" t="s">
        <v>183</v>
      </c>
      <c r="N43" s="48"/>
      <c r="O43" s="48">
        <v>0</v>
      </c>
      <c r="P43" s="288" t="str">
        <f>"報告期間："&amp;初期条件設定表!N39&amp;"年 "&amp;初期条件設定表!P39&amp;"月 ～ "&amp;YEAR(W42)&amp;"年"&amp;MONTH(W42)&amp;"月"&amp;"まで（遂行状況報告分）"</f>
        <v>報告期間：2026年 2月 ～ 2026年10月まで（遂行状況報告分）</v>
      </c>
      <c r="Q43" s="289"/>
      <c r="R43" s="289"/>
      <c r="S43" s="289"/>
      <c r="T43" s="289"/>
      <c r="U43" s="289"/>
      <c r="V43" s="290"/>
      <c r="W43" s="187"/>
    </row>
    <row r="44" spans="2:23" ht="13.5" thickTop="1">
      <c r="B44" s="185" t="s">
        <v>180</v>
      </c>
      <c r="L44" s="171"/>
      <c r="M44" s="49"/>
      <c r="N44" s="50"/>
      <c r="O44" s="50"/>
      <c r="P44" s="189"/>
      <c r="Q44" s="50"/>
      <c r="R44" s="189"/>
      <c r="S44" s="189"/>
      <c r="T44" s="189"/>
      <c r="U44" s="189"/>
      <c r="V44" s="189"/>
      <c r="W44" s="190"/>
    </row>
    <row r="45" spans="2:23">
      <c r="B45" s="171"/>
      <c r="C45" s="207" t="s">
        <v>181</v>
      </c>
      <c r="D45" s="170"/>
      <c r="E45" s="272">
        <v>2026</v>
      </c>
      <c r="F45" s="273" t="s">
        <v>11</v>
      </c>
      <c r="G45" s="272">
        <v>2</v>
      </c>
      <c r="H45" s="273" t="s">
        <v>12</v>
      </c>
      <c r="I45" s="272">
        <v>1</v>
      </c>
      <c r="J45" s="171" t="s">
        <v>36</v>
      </c>
      <c r="L45" s="171"/>
      <c r="M45" s="48"/>
      <c r="N45" s="48"/>
      <c r="O45" s="48"/>
      <c r="P45" s="171"/>
      <c r="Q45" s="48"/>
      <c r="R45" s="171"/>
      <c r="S45" s="171"/>
      <c r="T45" s="171"/>
    </row>
    <row r="46" spans="2:23">
      <c r="C46" s="266" t="s">
        <v>3</v>
      </c>
      <c r="L46" s="171"/>
      <c r="M46" s="48"/>
      <c r="N46" s="48"/>
      <c r="O46" s="48"/>
      <c r="P46" s="171"/>
      <c r="Q46" s="48"/>
      <c r="R46" s="171"/>
      <c r="S46" s="171"/>
      <c r="T46" s="171"/>
    </row>
    <row r="47" spans="2:23">
      <c r="C47" s="207" t="s">
        <v>135</v>
      </c>
      <c r="D47" s="170"/>
      <c r="E47" s="271">
        <v>2026</v>
      </c>
      <c r="F47" s="171" t="s">
        <v>11</v>
      </c>
      <c r="G47" s="271">
        <v>10</v>
      </c>
      <c r="H47" s="171" t="s">
        <v>12</v>
      </c>
      <c r="I47" s="271">
        <v>31</v>
      </c>
      <c r="J47" s="171" t="s">
        <v>36</v>
      </c>
      <c r="L47" s="171"/>
      <c r="M47" s="48"/>
      <c r="N47" s="48"/>
      <c r="O47" s="48"/>
      <c r="P47" s="171"/>
      <c r="Q47" s="48"/>
      <c r="R47" s="171"/>
      <c r="S47" s="171"/>
      <c r="T47" s="171"/>
    </row>
    <row r="48" spans="2:23">
      <c r="L48" s="171"/>
      <c r="M48" s="171"/>
      <c r="N48" s="171"/>
      <c r="O48" s="171"/>
      <c r="P48" s="171"/>
      <c r="Q48" s="171"/>
      <c r="R48" s="171"/>
      <c r="S48" s="171"/>
      <c r="T48" s="171"/>
    </row>
    <row r="49" spans="12:20">
      <c r="L49" s="171"/>
      <c r="M49" s="171"/>
      <c r="N49" s="171"/>
      <c r="O49" s="171"/>
      <c r="P49" s="171"/>
      <c r="Q49" s="171"/>
      <c r="R49" s="171"/>
      <c r="S49" s="171"/>
      <c r="T49" s="171"/>
    </row>
    <row r="50" spans="12:20">
      <c r="L50" s="171"/>
      <c r="M50" s="171"/>
      <c r="N50" s="171"/>
      <c r="O50" s="171"/>
      <c r="P50" s="171"/>
      <c r="Q50" s="171"/>
      <c r="R50" s="171"/>
      <c r="S50" s="171"/>
      <c r="T50" s="171"/>
    </row>
    <row r="51" spans="12:20">
      <c r="L51" s="171"/>
      <c r="M51" s="171"/>
      <c r="N51" s="171"/>
      <c r="O51" s="171"/>
      <c r="P51" s="171"/>
      <c r="Q51" s="171"/>
      <c r="R51" s="171"/>
      <c r="S51" s="171"/>
      <c r="T51" s="171"/>
    </row>
  </sheetData>
  <sheetProtection sheet="1" objects="1" scenarios="1" selectLockedCells="1" selectUnlockedCells="1"/>
  <mergeCells count="30">
    <mergeCell ref="M1:W1"/>
    <mergeCell ref="H11:J11"/>
    <mergeCell ref="H12:J12"/>
    <mergeCell ref="B1:K1"/>
    <mergeCell ref="B2:K4"/>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xr:uid="{00000000-0002-0000-0200-000000000000}">
      <formula1>$P$5:$P$12</formula1>
    </dataValidation>
    <dataValidation type="list" allowBlank="1" showInputMessage="1" showErrorMessage="1" sqref="C19" xr:uid="{00000000-0002-0000-0200-000001000000}">
      <formula1>$P$5:$P$12</formula1>
    </dataValidation>
    <dataValidation type="list" showInputMessage="1" showErrorMessage="1" sqref="C18" xr:uid="{00000000-0002-0000-0200-000002000000}">
      <formula1>$P$5:$P$11</formula1>
    </dataValidation>
    <dataValidation type="list" showInputMessage="1" showErrorMessage="1" sqref="C24" xr:uid="{00000000-0002-0000-0200-000003000000}">
      <formula1>$R$5:$R$37</formula1>
    </dataValidation>
    <dataValidation type="list" showInputMessage="1" showErrorMessage="1" sqref="C26" xr:uid="{00000000-0002-0000-0200-000004000000}">
      <formula1>$T$5:$T$6</formula1>
    </dataValidation>
    <dataValidation type="list" allowBlank="1" showInputMessage="1" showErrorMessage="1" sqref="E42 E45 E47" xr:uid="{00000000-0002-0000-0200-000005000000}">
      <formula1>$N$5:$N$7</formula1>
    </dataValidation>
    <dataValidation type="list" allowBlank="1" showInputMessage="1" showErrorMessage="1" sqref="G42 G45 G47" xr:uid="{00000000-0002-0000-0200-000006000000}">
      <formula1>$O$5:$O$16</formula1>
    </dataValidation>
    <dataValidation type="list" allowBlank="1" showInputMessage="1" showErrorMessage="1" sqref="I42 I45 I47" xr:uid="{00000000-0002-0000-0200-000007000000}">
      <formula1>$S$5:$S$35</formula1>
    </dataValidation>
  </dataValidations>
  <pageMargins left="0.7" right="0.7" top="0.75" bottom="0.75" header="0.3" footer="0.3"/>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6" tint="0.39997558519241921"/>
  </sheetPr>
  <dimension ref="A1:AC80"/>
  <sheetViews>
    <sheetView view="pageBreakPreview" zoomScaleNormal="100" zoomScaleSheetLayoutView="100" workbookViewId="0">
      <selection activeCell="A2" sqref="A2:L2"/>
    </sheetView>
  </sheetViews>
  <sheetFormatPr defaultColWidth="9" defaultRowHeight="20.149999999999999" customHeight="1"/>
  <cols>
    <col min="1" max="3" width="5" style="33" customWidth="1"/>
    <col min="4" max="4" width="3.81640625" style="33" customWidth="1"/>
    <col min="5" max="5" width="5.7265625" style="34" customWidth="1"/>
    <col min="6" max="6" width="5.7265625" style="34" hidden="1" customWidth="1"/>
    <col min="7" max="7" width="10.7265625" style="33" customWidth="1"/>
    <col min="8" max="8" width="10.7265625" style="35" customWidth="1"/>
    <col min="9" max="10" width="10.7265625" style="33" customWidth="1"/>
    <col min="11" max="12" width="15.7265625" style="33" customWidth="1"/>
    <col min="13" max="13" width="4.26953125" style="13" bestFit="1" customWidth="1"/>
    <col min="14" max="14" width="10.7265625" style="13" customWidth="1"/>
    <col min="15" max="15" width="10.7265625" style="13" hidden="1" customWidth="1"/>
    <col min="16" max="16" width="11.26953125" style="13" hidden="1" customWidth="1"/>
    <col min="17" max="17" width="3.26953125" style="13" hidden="1" customWidth="1"/>
    <col min="18" max="18" width="11.08984375" style="13" hidden="1" customWidth="1"/>
    <col min="19" max="19" width="17.26953125" style="13" hidden="1" customWidth="1"/>
    <col min="20" max="20" width="10.7265625" style="13" hidden="1" customWidth="1"/>
    <col min="21" max="21" width="12.26953125" style="13" hidden="1" customWidth="1"/>
    <col min="22" max="22" width="10.7265625" style="13" hidden="1" customWidth="1"/>
    <col min="23" max="23" width="9" style="13" hidden="1" customWidth="1"/>
    <col min="24" max="24" width="7.08984375" style="13" hidden="1" customWidth="1"/>
    <col min="25" max="25" width="10.08984375" style="13" hidden="1" customWidth="1"/>
    <col min="26" max="26" width="9" style="13" customWidth="1"/>
    <col min="27" max="16384" width="9" style="13"/>
  </cols>
  <sheetData>
    <row r="1" spans="1:25" ht="20.149999999999999" customHeight="1">
      <c r="A1" s="74"/>
      <c r="L1" s="215"/>
    </row>
    <row r="2" spans="1:25" ht="20.149999999999999" customHeight="1">
      <c r="A2" s="305" t="s">
        <v>138</v>
      </c>
      <c r="B2" s="305"/>
      <c r="C2" s="305"/>
      <c r="D2" s="305"/>
      <c r="E2" s="305"/>
      <c r="F2" s="305"/>
      <c r="G2" s="305"/>
      <c r="H2" s="305"/>
      <c r="I2" s="305"/>
      <c r="J2" s="305"/>
      <c r="K2" s="305"/>
      <c r="L2" s="305"/>
    </row>
    <row r="3" spans="1:25" ht="23.25" customHeight="1">
      <c r="A3" s="306" t="s">
        <v>139</v>
      </c>
      <c r="B3" s="306"/>
      <c r="C3" s="306"/>
      <c r="D3" s="306"/>
      <c r="E3" s="306"/>
      <c r="F3" s="306"/>
      <c r="G3" s="307"/>
      <c r="H3" s="307"/>
      <c r="I3" s="307"/>
      <c r="J3" s="307"/>
      <c r="K3" s="307"/>
      <c r="L3" s="307"/>
      <c r="M3" s="12"/>
      <c r="N3" s="12"/>
      <c r="O3" s="12"/>
      <c r="P3" s="12"/>
      <c r="Q3" s="12"/>
      <c r="R3" s="12"/>
      <c r="S3" s="12"/>
      <c r="T3" s="12"/>
      <c r="U3" s="12"/>
      <c r="V3" s="12"/>
      <c r="W3" s="12"/>
    </row>
    <row r="4" spans="1:25" ht="23.25" customHeight="1">
      <c r="A4" s="308" t="str">
        <f>IF(初期条件設定表!V32=1,初期条件設定表!P42,初期条件設定表!P43)</f>
        <v>報告期間：2026年 2月 ～ 2026年10月まで（遂行状況報告分）</v>
      </c>
      <c r="B4" s="308"/>
      <c r="C4" s="308"/>
      <c r="D4" s="308"/>
      <c r="E4" s="308"/>
      <c r="F4" s="308"/>
      <c r="G4" s="309"/>
      <c r="H4" s="309"/>
      <c r="I4" s="309"/>
      <c r="J4" s="309"/>
      <c r="K4" s="309"/>
      <c r="L4" s="309"/>
      <c r="M4" s="12"/>
      <c r="N4" s="12"/>
      <c r="O4" s="12"/>
      <c r="P4" s="12"/>
      <c r="Q4" s="12"/>
      <c r="R4" s="12"/>
      <c r="S4" s="12"/>
      <c r="T4" s="12"/>
      <c r="U4" s="12"/>
      <c r="V4" s="12"/>
      <c r="W4" s="12"/>
    </row>
    <row r="5" spans="1:25" ht="29.25" customHeight="1">
      <c r="A5" s="314" t="s">
        <v>27</v>
      </c>
      <c r="B5" s="314"/>
      <c r="C5" s="314"/>
      <c r="D5" s="310" t="str">
        <f>IF(初期条件設定表!C6="","",初期条件設定表!C6)</f>
        <v>○○△△株式会社</v>
      </c>
      <c r="E5" s="311"/>
      <c r="F5" s="311"/>
      <c r="G5" s="311"/>
      <c r="H5" s="311"/>
      <c r="I5" s="311"/>
      <c r="J5" s="311"/>
      <c r="K5" s="311"/>
      <c r="L5" s="312"/>
      <c r="M5" s="12"/>
      <c r="N5" s="12"/>
      <c r="O5" s="12"/>
      <c r="P5" s="12"/>
      <c r="Q5" s="12"/>
      <c r="R5" s="12"/>
      <c r="S5" s="12"/>
      <c r="T5" s="12"/>
      <c r="U5" s="12"/>
      <c r="V5" s="12"/>
      <c r="W5" s="12"/>
    </row>
    <row r="6" spans="1:25" ht="29.25" customHeight="1">
      <c r="A6" s="314" t="s">
        <v>26</v>
      </c>
      <c r="B6" s="314"/>
      <c r="C6" s="314"/>
      <c r="D6" s="310" t="str">
        <f>IF(初期条件設定表!C7="","",初期条件設定表!C7)</f>
        <v>公社　太郎</v>
      </c>
      <c r="E6" s="311"/>
      <c r="F6" s="311"/>
      <c r="G6" s="311"/>
      <c r="H6" s="311"/>
      <c r="I6" s="311"/>
      <c r="J6" s="311"/>
      <c r="K6" s="311"/>
      <c r="L6" s="312"/>
      <c r="M6" s="12"/>
      <c r="N6" s="12"/>
      <c r="O6" s="12"/>
      <c r="P6" s="12"/>
      <c r="Q6" s="12"/>
      <c r="R6" s="12"/>
      <c r="S6" s="12"/>
      <c r="T6" s="12"/>
      <c r="U6" s="12"/>
      <c r="V6" s="12"/>
      <c r="W6" s="12"/>
    </row>
    <row r="7" spans="1:25" s="16" customFormat="1" ht="60" customHeight="1" thickBot="1">
      <c r="A7" s="318" t="s">
        <v>11</v>
      </c>
      <c r="B7" s="319"/>
      <c r="C7" s="320"/>
      <c r="D7" s="321" t="s">
        <v>103</v>
      </c>
      <c r="E7" s="322"/>
      <c r="F7" s="128" t="s">
        <v>104</v>
      </c>
      <c r="G7" s="124" t="s">
        <v>13</v>
      </c>
      <c r="H7" s="121" t="s">
        <v>132</v>
      </c>
      <c r="I7" s="122" t="s">
        <v>14</v>
      </c>
      <c r="J7" s="120" t="s">
        <v>15</v>
      </c>
      <c r="K7" s="123" t="s">
        <v>16</v>
      </c>
      <c r="L7" s="120" t="s">
        <v>17</v>
      </c>
      <c r="M7" s="216" t="s">
        <v>128</v>
      </c>
      <c r="N7" s="209"/>
      <c r="O7" s="209"/>
      <c r="P7" s="325" t="s">
        <v>186</v>
      </c>
      <c r="Q7" s="326"/>
      <c r="R7" s="326"/>
      <c r="S7" s="326"/>
      <c r="T7" s="14"/>
      <c r="U7" s="191"/>
      <c r="V7" s="14"/>
      <c r="W7" s="193" t="s">
        <v>129</v>
      </c>
      <c r="X7" s="16" t="s">
        <v>130</v>
      </c>
      <c r="Y7" s="16" t="s">
        <v>143</v>
      </c>
    </row>
    <row r="8" spans="1:25" s="24" customFormat="1" ht="24.9" customHeight="1" thickBot="1">
      <c r="A8" s="323">
        <f>初期条件設定表!N39</f>
        <v>2026</v>
      </c>
      <c r="B8" s="324"/>
      <c r="C8" s="217" t="s">
        <v>11</v>
      </c>
      <c r="D8" s="200">
        <f>初期条件設定表!P39</f>
        <v>2</v>
      </c>
      <c r="E8" s="218" t="s">
        <v>20</v>
      </c>
      <c r="F8" s="129">
        <v>1</v>
      </c>
      <c r="G8" s="274"/>
      <c r="H8" s="17">
        <f t="shared" ref="H8:H17" si="0">MIN($W$8:$W$16)</f>
        <v>550000</v>
      </c>
      <c r="I8" s="18" t="str">
        <f>IF($G8&lt;10000,"0",LOOKUP(H8,$P$10:$P$40,$S$10:$S$40))</f>
        <v>0</v>
      </c>
      <c r="J8" s="219" t="str">
        <f>IF(初期条件設定表!C26="当月",'2026年2月作業分'!E36,"0.0")</f>
        <v>0.0</v>
      </c>
      <c r="K8" s="19">
        <f>I8*J8</f>
        <v>0</v>
      </c>
      <c r="L8" s="20">
        <f t="shared" ref="L8:L13" si="1">IF(G8&lt;=K8,G8,K8)</f>
        <v>0</v>
      </c>
      <c r="M8" s="214"/>
      <c r="N8" s="210"/>
      <c r="O8" s="211"/>
      <c r="P8" s="327" t="s">
        <v>18</v>
      </c>
      <c r="Q8" s="328"/>
      <c r="R8" s="328"/>
      <c r="S8" s="15" t="s">
        <v>19</v>
      </c>
      <c r="T8" s="21"/>
      <c r="U8" s="21"/>
      <c r="V8" s="21"/>
      <c r="W8" s="195" t="str">
        <f>IF(M8=X$9,700000,IF(G8="","",G8))</f>
        <v/>
      </c>
      <c r="X8" s="256"/>
      <c r="Y8" s="223">
        <f>LOOKUP(H8,$P$10:$P$40,$S$10:$S$40)</f>
        <v>4660</v>
      </c>
    </row>
    <row r="9" spans="1:25" s="24" customFormat="1" ht="24.9" customHeight="1" thickBot="1">
      <c r="A9" s="303">
        <f>IF(A8="対象外","対象外",IF(U9&gt;初期条件設定表!$U$32,"対象外",IF(D8&lt;12,A8,A8+1)))</f>
        <v>2026</v>
      </c>
      <c r="B9" s="304"/>
      <c r="C9" s="112" t="s">
        <v>11</v>
      </c>
      <c r="D9" s="125">
        <f>IF(D8&lt;12,D8+1,1)</f>
        <v>3</v>
      </c>
      <c r="E9" s="111" t="s">
        <v>20</v>
      </c>
      <c r="F9" s="129">
        <v>1</v>
      </c>
      <c r="G9" s="274">
        <v>550000</v>
      </c>
      <c r="H9" s="17">
        <f t="shared" si="0"/>
        <v>550000</v>
      </c>
      <c r="I9" s="18">
        <f t="shared" ref="I9:I17" si="2">IF($G9&lt;10000,"0",LOOKUP(H9,$P$10:$P$40,$S$10:$S$40))</f>
        <v>4660</v>
      </c>
      <c r="J9" s="36">
        <f>IF(初期条件設定表!C26="当月",'2026年3月作業分'!E36,'2026年2月作業分'!E36)</f>
        <v>37.5</v>
      </c>
      <c r="K9" s="19">
        <f t="shared" ref="K9:K13" si="3">I9*J9</f>
        <v>174750</v>
      </c>
      <c r="L9" s="20">
        <f t="shared" si="1"/>
        <v>174750</v>
      </c>
      <c r="M9" s="214"/>
      <c r="N9" s="211"/>
      <c r="O9" s="211"/>
      <c r="P9" s="22" t="s">
        <v>21</v>
      </c>
      <c r="Q9" s="23"/>
      <c r="R9" s="22" t="s">
        <v>22</v>
      </c>
      <c r="S9" s="22" t="s">
        <v>23</v>
      </c>
      <c r="T9" s="21"/>
      <c r="U9" s="257">
        <f>DATE(A8,D8+1,F8)</f>
        <v>46082</v>
      </c>
      <c r="V9" s="21"/>
      <c r="W9" s="195">
        <f t="shared" ref="W9:W15" si="4">IF(M9=X$9,700000,IF(G9="","",G9))</f>
        <v>550000</v>
      </c>
      <c r="X9" s="194" t="s">
        <v>131</v>
      </c>
      <c r="Y9" s="24">
        <f t="shared" ref="Y9:Y15" si="5">LOOKUP(H9,$P$10:$P$40,$S$10:$S$40)</f>
        <v>4660</v>
      </c>
    </row>
    <row r="10" spans="1:25" s="24" customFormat="1" ht="24.9" customHeight="1" thickBot="1">
      <c r="A10" s="303">
        <f>IF(A9="対象外","対象外",IF(U10&gt;初期条件設定表!$U$32,"対象外",IF(D9&lt;12,A9,A9+1)))</f>
        <v>2026</v>
      </c>
      <c r="B10" s="304"/>
      <c r="C10" s="112" t="s">
        <v>11</v>
      </c>
      <c r="D10" s="110">
        <f t="shared" ref="D10:D17" si="6">IF(D9&lt;12,D9+1,1)</f>
        <v>4</v>
      </c>
      <c r="E10" s="111" t="s">
        <v>20</v>
      </c>
      <c r="F10" s="129">
        <f t="shared" ref="F10:F15" si="7">F9</f>
        <v>1</v>
      </c>
      <c r="G10" s="274">
        <v>580000</v>
      </c>
      <c r="H10" s="17">
        <f t="shared" si="0"/>
        <v>550000</v>
      </c>
      <c r="I10" s="18">
        <f t="shared" si="2"/>
        <v>4660</v>
      </c>
      <c r="J10" s="36">
        <f>IF(初期条件設定表!C26="当月",'2026年4月作業分'!E36,'2026年3月作業分'!E36)</f>
        <v>38.5</v>
      </c>
      <c r="K10" s="19">
        <f t="shared" si="3"/>
        <v>179410</v>
      </c>
      <c r="L10" s="20">
        <f t="shared" si="1"/>
        <v>179410</v>
      </c>
      <c r="M10" s="214"/>
      <c r="N10" s="21"/>
      <c r="O10" s="21"/>
      <c r="P10" s="22">
        <v>0</v>
      </c>
      <c r="Q10" s="23"/>
      <c r="R10" s="22">
        <v>0</v>
      </c>
      <c r="S10" s="22">
        <v>0</v>
      </c>
      <c r="T10" s="21"/>
      <c r="U10" s="257">
        <f>DATE(IF(D8&gt;=12,A8+1,A8),D9+1,F9)</f>
        <v>46113</v>
      </c>
      <c r="V10" s="21"/>
      <c r="W10" s="195">
        <f t="shared" si="4"/>
        <v>580000</v>
      </c>
      <c r="Y10" s="24">
        <f t="shared" si="5"/>
        <v>4660</v>
      </c>
    </row>
    <row r="11" spans="1:25" s="24" customFormat="1" ht="24.9" customHeight="1" thickBot="1">
      <c r="A11" s="303">
        <f>IF(A10="対象外","対象外",IF(U11&gt;初期条件設定表!$U$32,"対象外",IF(D10&lt;12,A10,A10+1)))</f>
        <v>2026</v>
      </c>
      <c r="B11" s="304"/>
      <c r="C11" s="112" t="s">
        <v>11</v>
      </c>
      <c r="D11" s="110">
        <f t="shared" si="6"/>
        <v>5</v>
      </c>
      <c r="E11" s="111" t="s">
        <v>20</v>
      </c>
      <c r="F11" s="129">
        <f t="shared" si="7"/>
        <v>1</v>
      </c>
      <c r="G11" s="274"/>
      <c r="H11" s="17">
        <f t="shared" si="0"/>
        <v>550000</v>
      </c>
      <c r="I11" s="18" t="str">
        <f t="shared" si="2"/>
        <v>0</v>
      </c>
      <c r="J11" s="36">
        <f>IF(初期条件設定表!C26="当月",'2026年5月作業分'!E36,'2026年4月作業分'!E36)</f>
        <v>0</v>
      </c>
      <c r="K11" s="19">
        <f t="shared" si="3"/>
        <v>0</v>
      </c>
      <c r="L11" s="20">
        <f t="shared" si="1"/>
        <v>0</v>
      </c>
      <c r="M11" s="214"/>
      <c r="N11" s="21"/>
      <c r="O11" s="21"/>
      <c r="P11" s="22">
        <v>1</v>
      </c>
      <c r="Q11" s="22" t="s">
        <v>24</v>
      </c>
      <c r="R11" s="25">
        <v>130000</v>
      </c>
      <c r="S11" s="26">
        <v>1040</v>
      </c>
      <c r="U11" s="257">
        <f t="shared" ref="U11:U17" si="8">DATE(IF(D9&gt;=12,A9+1,A9),D10+1,F10)</f>
        <v>46143</v>
      </c>
      <c r="W11" s="195" t="str">
        <f t="shared" si="4"/>
        <v/>
      </c>
      <c r="Y11" s="24">
        <f t="shared" si="5"/>
        <v>4660</v>
      </c>
    </row>
    <row r="12" spans="1:25" s="24" customFormat="1" ht="24.9" customHeight="1" thickBot="1">
      <c r="A12" s="303">
        <f>IF(A11="対象外","対象外",IF(U12&gt;初期条件設定表!$U$32,"対象外",IF(D11&lt;12,A11,A11+1)))</f>
        <v>2026</v>
      </c>
      <c r="B12" s="304"/>
      <c r="C12" s="112" t="s">
        <v>11</v>
      </c>
      <c r="D12" s="110">
        <f t="shared" si="6"/>
        <v>6</v>
      </c>
      <c r="E12" s="111" t="s">
        <v>20</v>
      </c>
      <c r="F12" s="129">
        <f t="shared" si="7"/>
        <v>1</v>
      </c>
      <c r="G12" s="274">
        <v>600000</v>
      </c>
      <c r="H12" s="17">
        <f t="shared" si="0"/>
        <v>550000</v>
      </c>
      <c r="I12" s="18">
        <f t="shared" si="2"/>
        <v>4660</v>
      </c>
      <c r="J12" s="36">
        <f>IF(初期条件設定表!C26="当月",'2026年6月作業分'!E36,'2026年5月作業分'!E36)</f>
        <v>55</v>
      </c>
      <c r="K12" s="19">
        <f t="shared" si="3"/>
        <v>256300</v>
      </c>
      <c r="L12" s="20">
        <f t="shared" si="1"/>
        <v>256300</v>
      </c>
      <c r="M12" s="214"/>
      <c r="N12" s="21"/>
      <c r="O12" s="21"/>
      <c r="P12" s="25">
        <v>130000</v>
      </c>
      <c r="Q12" s="22" t="s">
        <v>24</v>
      </c>
      <c r="R12" s="25">
        <v>138000</v>
      </c>
      <c r="S12" s="26">
        <v>1110</v>
      </c>
      <c r="U12" s="257">
        <f t="shared" si="8"/>
        <v>46174</v>
      </c>
      <c r="W12" s="195">
        <f t="shared" si="4"/>
        <v>600000</v>
      </c>
      <c r="Y12" s="24">
        <f t="shared" si="5"/>
        <v>4660</v>
      </c>
    </row>
    <row r="13" spans="1:25" s="24" customFormat="1" ht="24.9" customHeight="1" thickBot="1">
      <c r="A13" s="303">
        <f>IF(A12="対象外","対象外",IF(U13&gt;初期条件設定表!$U$32,"対象外",IF(D12&lt;12,A12,A12+1)))</f>
        <v>2026</v>
      </c>
      <c r="B13" s="304"/>
      <c r="C13" s="112" t="s">
        <v>11</v>
      </c>
      <c r="D13" s="110">
        <f t="shared" si="6"/>
        <v>7</v>
      </c>
      <c r="E13" s="111" t="s">
        <v>20</v>
      </c>
      <c r="F13" s="129">
        <f t="shared" si="7"/>
        <v>1</v>
      </c>
      <c r="G13" s="151"/>
      <c r="H13" s="17">
        <f t="shared" si="0"/>
        <v>550000</v>
      </c>
      <c r="I13" s="18" t="str">
        <f t="shared" si="2"/>
        <v>0</v>
      </c>
      <c r="J13" s="36">
        <f>IF(初期条件設定表!C26="当月",'2026年7月作業分'!E36,'2026年6月作業分'!E36)</f>
        <v>0</v>
      </c>
      <c r="K13" s="19">
        <f t="shared" si="3"/>
        <v>0</v>
      </c>
      <c r="L13" s="20">
        <f t="shared" si="1"/>
        <v>0</v>
      </c>
      <c r="M13" s="214"/>
      <c r="N13" s="21"/>
      <c r="O13" s="21"/>
      <c r="P13" s="25">
        <v>138000</v>
      </c>
      <c r="Q13" s="22" t="s">
        <v>24</v>
      </c>
      <c r="R13" s="25">
        <v>146000</v>
      </c>
      <c r="S13" s="26">
        <v>1180</v>
      </c>
      <c r="U13" s="257">
        <f t="shared" si="8"/>
        <v>46204</v>
      </c>
      <c r="W13" s="195" t="str">
        <f t="shared" si="4"/>
        <v/>
      </c>
      <c r="Y13" s="24">
        <f t="shared" si="5"/>
        <v>4660</v>
      </c>
    </row>
    <row r="14" spans="1:25" s="24" customFormat="1" ht="24.9" customHeight="1" thickBot="1">
      <c r="A14" s="303">
        <f>IF(A13="対象外","対象外",IF(U14&gt;初期条件設定表!$U$32,"対象外",IF(D13&lt;12,A13,A13+1)))</f>
        <v>2026</v>
      </c>
      <c r="B14" s="304"/>
      <c r="C14" s="112" t="s">
        <v>11</v>
      </c>
      <c r="D14" s="110">
        <f t="shared" si="6"/>
        <v>8</v>
      </c>
      <c r="E14" s="111" t="s">
        <v>20</v>
      </c>
      <c r="F14" s="129">
        <f t="shared" si="7"/>
        <v>1</v>
      </c>
      <c r="G14" s="151"/>
      <c r="H14" s="17">
        <f t="shared" si="0"/>
        <v>550000</v>
      </c>
      <c r="I14" s="18" t="str">
        <f t="shared" si="2"/>
        <v>0</v>
      </c>
      <c r="J14" s="36">
        <f>IF(初期条件設定表!C26="当月",'2026年8月作業分'!E36,'2026年7月作業分'!E36)</f>
        <v>0</v>
      </c>
      <c r="K14" s="19">
        <f t="shared" ref="K14:K17" si="9">I14*J14</f>
        <v>0</v>
      </c>
      <c r="L14" s="20">
        <f t="shared" ref="L14:L17" si="10">IF(G14&lt;=K14,G14,K14)</f>
        <v>0</v>
      </c>
      <c r="M14" s="214"/>
      <c r="N14" s="21"/>
      <c r="O14" s="21"/>
      <c r="P14" s="25">
        <v>146000</v>
      </c>
      <c r="Q14" s="22" t="s">
        <v>24</v>
      </c>
      <c r="R14" s="25">
        <v>155000</v>
      </c>
      <c r="S14" s="26">
        <v>1240</v>
      </c>
      <c r="U14" s="257">
        <f t="shared" si="8"/>
        <v>46235</v>
      </c>
      <c r="W14" s="195" t="str">
        <f t="shared" si="4"/>
        <v/>
      </c>
      <c r="Y14" s="24">
        <f t="shared" si="5"/>
        <v>4660</v>
      </c>
    </row>
    <row r="15" spans="1:25" s="24" customFormat="1" ht="24.9" customHeight="1" thickBot="1">
      <c r="A15" s="303">
        <f>IF(A14="対象外","対象外",IF(U15&gt;初期条件設定表!$U$32,"対象外",IF(D14&lt;12,A14,A14+1)))</f>
        <v>2026</v>
      </c>
      <c r="B15" s="304"/>
      <c r="C15" s="112" t="s">
        <v>11</v>
      </c>
      <c r="D15" s="110">
        <f t="shared" si="6"/>
        <v>9</v>
      </c>
      <c r="E15" s="111" t="s">
        <v>20</v>
      </c>
      <c r="F15" s="129">
        <f t="shared" si="7"/>
        <v>1</v>
      </c>
      <c r="G15" s="151"/>
      <c r="H15" s="17">
        <f t="shared" si="0"/>
        <v>550000</v>
      </c>
      <c r="I15" s="18" t="str">
        <f t="shared" si="2"/>
        <v>0</v>
      </c>
      <c r="J15" s="36">
        <f>IF(初期条件設定表!C26="当月",'2026年9月作業分'!E36,'2026年8月作業分'!E36)</f>
        <v>0</v>
      </c>
      <c r="K15" s="19">
        <f t="shared" si="9"/>
        <v>0</v>
      </c>
      <c r="L15" s="20">
        <f t="shared" si="10"/>
        <v>0</v>
      </c>
      <c r="M15" s="214"/>
      <c r="N15" s="21"/>
      <c r="O15" s="21"/>
      <c r="P15" s="25">
        <v>155000</v>
      </c>
      <c r="Q15" s="22" t="s">
        <v>24</v>
      </c>
      <c r="R15" s="25">
        <v>165000</v>
      </c>
      <c r="S15" s="26">
        <v>1330</v>
      </c>
      <c r="U15" s="257">
        <f t="shared" si="8"/>
        <v>46266</v>
      </c>
      <c r="W15" s="195" t="str">
        <f t="shared" si="4"/>
        <v/>
      </c>
      <c r="Y15" s="24">
        <f t="shared" si="5"/>
        <v>4660</v>
      </c>
    </row>
    <row r="16" spans="1:25" s="24" customFormat="1" ht="24.75" customHeight="1" thickBot="1">
      <c r="A16" s="303">
        <f>IF(A15="対象外","対象外",IF(U16&gt;初期条件設定表!$U$32,"対象外",IF(D15&lt;12,A15,A15+1)))</f>
        <v>2026</v>
      </c>
      <c r="B16" s="304"/>
      <c r="C16" s="112" t="s">
        <v>11</v>
      </c>
      <c r="D16" s="110">
        <f>IF(D15&lt;12,D15+1,1)</f>
        <v>10</v>
      </c>
      <c r="E16" s="111" t="s">
        <v>20</v>
      </c>
      <c r="F16" s="129">
        <f>F14</f>
        <v>1</v>
      </c>
      <c r="G16" s="151"/>
      <c r="H16" s="17">
        <f t="shared" si="0"/>
        <v>550000</v>
      </c>
      <c r="I16" s="18" t="str">
        <f t="shared" ref="I16" si="11">IF($G16&lt;10000,"0",LOOKUP(H16,$P$10:$P$40,$S$10:$S$40))</f>
        <v>0</v>
      </c>
      <c r="J16" s="36">
        <f>IF(初期条件設定表!C26="当月",'2026年10月作業分'!E36,'2026年9月作業分'!E36)</f>
        <v>0</v>
      </c>
      <c r="K16" s="19">
        <f>I16*J16</f>
        <v>0</v>
      </c>
      <c r="L16" s="20">
        <f t="shared" ref="L16" si="12">IF(G16&lt;=K16,G16,K16)</f>
        <v>0</v>
      </c>
      <c r="M16" s="214"/>
      <c r="N16" s="21"/>
      <c r="O16" s="21"/>
      <c r="P16" s="25">
        <v>165000</v>
      </c>
      <c r="Q16" s="22" t="s">
        <v>24</v>
      </c>
      <c r="R16" s="25">
        <v>175000</v>
      </c>
      <c r="S16" s="26">
        <v>1410</v>
      </c>
      <c r="U16" s="257">
        <f t="shared" si="8"/>
        <v>46296</v>
      </c>
      <c r="W16" s="195" t="str">
        <f>IF(M16=X$9,700000,IF(G17="","",G17))</f>
        <v/>
      </c>
      <c r="Y16" s="24">
        <f>LOOKUP(H17,$P$10:$P$40,$S$10:$S$40)</f>
        <v>4660</v>
      </c>
    </row>
    <row r="17" spans="1:27" s="24" customFormat="1" ht="24.75" customHeight="1" thickBot="1">
      <c r="A17" s="303">
        <f>IF(A16="対象外","対象外",IF(U17&gt;初期条件設定表!$U$32,"対象外",IF(D16&lt;12,A16,A16+1)))</f>
        <v>2026</v>
      </c>
      <c r="B17" s="304"/>
      <c r="C17" s="112" t="s">
        <v>11</v>
      </c>
      <c r="D17" s="110">
        <f t="shared" si="6"/>
        <v>11</v>
      </c>
      <c r="E17" s="111" t="s">
        <v>20</v>
      </c>
      <c r="F17" s="129">
        <f>F15</f>
        <v>1</v>
      </c>
      <c r="G17" s="151"/>
      <c r="H17" s="17">
        <f t="shared" si="0"/>
        <v>550000</v>
      </c>
      <c r="I17" s="18" t="str">
        <f t="shared" si="2"/>
        <v>0</v>
      </c>
      <c r="J17" s="36">
        <f>IF(初期条件設定表!C26="当月",'2026年11月作業分'!E36,'2026年10月作業分'!E36)</f>
        <v>0</v>
      </c>
      <c r="K17" s="19">
        <f t="shared" si="9"/>
        <v>0</v>
      </c>
      <c r="L17" s="20">
        <f t="shared" si="10"/>
        <v>0</v>
      </c>
      <c r="M17" s="214"/>
      <c r="N17" s="21"/>
      <c r="O17" s="21"/>
      <c r="P17" s="25">
        <v>175000</v>
      </c>
      <c r="Q17" s="22" t="s">
        <v>24</v>
      </c>
      <c r="R17" s="25">
        <v>185000</v>
      </c>
      <c r="S17" s="26">
        <v>1490</v>
      </c>
      <c r="U17" s="257">
        <f t="shared" si="8"/>
        <v>46327</v>
      </c>
      <c r="W17" s="255"/>
    </row>
    <row r="18" spans="1:27" s="24" customFormat="1" ht="19.5" customHeight="1" thickBot="1">
      <c r="A18" s="315" t="s">
        <v>25</v>
      </c>
      <c r="B18" s="316"/>
      <c r="C18" s="316"/>
      <c r="D18" s="316"/>
      <c r="E18" s="316"/>
      <c r="F18" s="316"/>
      <c r="G18" s="317"/>
      <c r="H18" s="258"/>
      <c r="I18" s="115"/>
      <c r="J18" s="116">
        <f>SUM(J8:J17)</f>
        <v>131</v>
      </c>
      <c r="K18" s="117">
        <f>SUM(K8:K17)</f>
        <v>610460</v>
      </c>
      <c r="L18" s="118">
        <f>SUM(L8:L17)</f>
        <v>610460</v>
      </c>
      <c r="M18" s="214"/>
      <c r="N18" s="21"/>
      <c r="O18" s="21"/>
      <c r="P18" s="25">
        <v>185000</v>
      </c>
      <c r="Q18" s="22" t="s">
        <v>24</v>
      </c>
      <c r="R18" s="25">
        <v>195000</v>
      </c>
      <c r="S18" s="26">
        <v>1580</v>
      </c>
      <c r="U18" s="253"/>
      <c r="W18" s="211"/>
    </row>
    <row r="19" spans="1:27" s="24" customFormat="1" ht="19.5" customHeight="1">
      <c r="A19" s="27"/>
      <c r="B19" s="201"/>
      <c r="C19" s="201"/>
      <c r="D19" s="205"/>
      <c r="E19" s="202"/>
      <c r="F19" s="202"/>
      <c r="G19" s="201"/>
      <c r="H19" s="29"/>
      <c r="I19" s="27"/>
      <c r="J19" s="27"/>
      <c r="K19" s="27"/>
      <c r="L19" s="27"/>
      <c r="M19" s="214"/>
      <c r="N19" s="21"/>
      <c r="O19" s="21"/>
      <c r="P19" s="25">
        <v>195000</v>
      </c>
      <c r="Q19" s="22" t="s">
        <v>24</v>
      </c>
      <c r="R19" s="25">
        <v>210000</v>
      </c>
      <c r="S19" s="26">
        <v>1660</v>
      </c>
      <c r="U19" s="253"/>
      <c r="W19" s="211"/>
    </row>
    <row r="20" spans="1:27" s="24" customFormat="1" ht="19.5" customHeight="1">
      <c r="A20" s="27"/>
      <c r="B20" s="206"/>
      <c r="C20" s="206"/>
      <c r="D20" s="206"/>
      <c r="E20" s="206"/>
      <c r="F20" s="206"/>
      <c r="G20" s="206"/>
      <c r="H20" s="29"/>
      <c r="I20" s="27"/>
      <c r="J20" s="27"/>
      <c r="K20" s="27"/>
      <c r="L20" s="27"/>
      <c r="M20" s="214"/>
      <c r="N20" s="21"/>
      <c r="O20" s="21"/>
      <c r="P20" s="25">
        <v>210000</v>
      </c>
      <c r="Q20" s="22" t="s">
        <v>24</v>
      </c>
      <c r="R20" s="25">
        <v>230000</v>
      </c>
      <c r="S20" s="26">
        <v>1830</v>
      </c>
      <c r="U20" s="253"/>
      <c r="W20" s="211"/>
    </row>
    <row r="21" spans="1:27" s="24" customFormat="1" ht="19.5" customHeight="1">
      <c r="A21" s="33"/>
      <c r="B21" s="33"/>
      <c r="C21" s="33"/>
      <c r="D21" s="33"/>
      <c r="E21" s="33"/>
      <c r="F21" s="33"/>
      <c r="G21" s="33"/>
      <c r="H21" s="35"/>
      <c r="I21" s="33"/>
      <c r="J21" s="33"/>
      <c r="K21" s="33"/>
      <c r="L21" s="33"/>
      <c r="M21" s="214"/>
      <c r="N21" s="21"/>
      <c r="O21" s="21"/>
      <c r="P21" s="25">
        <v>230000</v>
      </c>
      <c r="Q21" s="22" t="s">
        <v>24</v>
      </c>
      <c r="R21" s="25">
        <v>250000</v>
      </c>
      <c r="S21" s="26">
        <v>1990</v>
      </c>
      <c r="U21" s="253"/>
      <c r="W21" s="211"/>
    </row>
    <row r="22" spans="1:27" ht="19.5" customHeight="1">
      <c r="E22" s="33"/>
      <c r="F22" s="33"/>
      <c r="M22" s="214"/>
      <c r="N22" s="12"/>
      <c r="O22" s="12"/>
      <c r="P22" s="25">
        <v>250000</v>
      </c>
      <c r="Q22" s="22" t="s">
        <v>24</v>
      </c>
      <c r="R22" s="25">
        <v>270000</v>
      </c>
      <c r="S22" s="26">
        <v>2160</v>
      </c>
      <c r="T22" s="24"/>
      <c r="U22" s="253"/>
      <c r="V22" s="24"/>
      <c r="W22" s="211"/>
      <c r="X22" s="24"/>
      <c r="Y22" s="24"/>
      <c r="Z22" s="24"/>
      <c r="AA22" s="24"/>
    </row>
    <row r="23" spans="1:27" s="24" customFormat="1" ht="19.5" customHeight="1">
      <c r="A23" s="33"/>
      <c r="B23" s="33"/>
      <c r="C23" s="33"/>
      <c r="D23" s="33"/>
      <c r="E23" s="33"/>
      <c r="F23" s="33"/>
      <c r="G23" s="33"/>
      <c r="H23" s="35"/>
      <c r="I23" s="33"/>
      <c r="J23" s="33"/>
      <c r="K23" s="33"/>
      <c r="L23" s="33"/>
      <c r="M23" s="214"/>
      <c r="N23" s="21"/>
      <c r="O23" s="21"/>
      <c r="P23" s="25">
        <v>270000</v>
      </c>
      <c r="Q23" s="22" t="s">
        <v>24</v>
      </c>
      <c r="R23" s="25">
        <v>290000</v>
      </c>
      <c r="S23" s="26">
        <v>2330</v>
      </c>
      <c r="U23" s="253"/>
      <c r="W23" s="211"/>
    </row>
    <row r="24" spans="1:27" s="24" customFormat="1" ht="19.5" customHeight="1">
      <c r="A24" s="33"/>
      <c r="B24" s="33"/>
      <c r="C24" s="33"/>
      <c r="D24" s="27"/>
      <c r="E24" s="28"/>
      <c r="F24" s="28"/>
      <c r="G24" s="33"/>
      <c r="H24" s="35"/>
      <c r="I24" s="33"/>
      <c r="J24" s="33"/>
      <c r="K24" s="33"/>
      <c r="L24" s="33"/>
      <c r="M24" s="214"/>
      <c r="N24" s="21"/>
      <c r="O24" s="21"/>
      <c r="P24" s="25">
        <v>290000</v>
      </c>
      <c r="Q24" s="22" t="s">
        <v>24</v>
      </c>
      <c r="R24" s="25">
        <v>310000</v>
      </c>
      <c r="S24" s="26">
        <v>2490</v>
      </c>
      <c r="U24" s="253"/>
      <c r="W24" s="211"/>
    </row>
    <row r="25" spans="1:27" s="24" customFormat="1" ht="19.5" customHeight="1">
      <c r="A25" s="33"/>
      <c r="B25" s="33"/>
      <c r="C25" s="33"/>
      <c r="D25" s="33"/>
      <c r="E25" s="33"/>
      <c r="F25" s="33"/>
      <c r="G25" s="33"/>
      <c r="H25" s="35"/>
      <c r="I25" s="33"/>
      <c r="J25" s="33"/>
      <c r="K25" s="33"/>
      <c r="L25" s="33"/>
      <c r="M25" s="214"/>
      <c r="N25" s="21"/>
      <c r="O25" s="21"/>
      <c r="P25" s="25">
        <v>310000</v>
      </c>
      <c r="Q25" s="22" t="s">
        <v>24</v>
      </c>
      <c r="R25" s="25">
        <v>330000</v>
      </c>
      <c r="S25" s="26">
        <v>2660</v>
      </c>
      <c r="U25" s="253"/>
      <c r="W25" s="211"/>
    </row>
    <row r="26" spans="1:27" s="24" customFormat="1" ht="19.5" customHeight="1">
      <c r="A26" s="33"/>
      <c r="B26" s="33"/>
      <c r="C26" s="33"/>
      <c r="D26" s="33"/>
      <c r="E26" s="33"/>
      <c r="F26" s="33"/>
      <c r="G26" s="33"/>
      <c r="H26" s="35"/>
      <c r="I26" s="33"/>
      <c r="J26" s="33"/>
      <c r="K26" s="33"/>
      <c r="L26" s="33"/>
      <c r="M26" s="214"/>
      <c r="N26" s="21"/>
      <c r="O26" s="21"/>
      <c r="P26" s="25">
        <v>330000</v>
      </c>
      <c r="Q26" s="22" t="s">
        <v>24</v>
      </c>
      <c r="R26" s="25">
        <v>350000</v>
      </c>
      <c r="S26" s="26">
        <v>2820</v>
      </c>
      <c r="U26" s="253"/>
      <c r="W26" s="211"/>
    </row>
    <row r="27" spans="1:27" s="24" customFormat="1" ht="19.5" customHeight="1">
      <c r="A27" s="33"/>
      <c r="B27" s="33"/>
      <c r="C27" s="33"/>
      <c r="D27" s="27"/>
      <c r="E27" s="28"/>
      <c r="F27" s="28"/>
      <c r="G27" s="33"/>
      <c r="H27" s="35"/>
      <c r="I27" s="33"/>
      <c r="J27" s="33"/>
      <c r="K27" s="33"/>
      <c r="L27" s="33"/>
      <c r="M27" s="214"/>
      <c r="N27" s="21"/>
      <c r="O27" s="21"/>
      <c r="P27" s="25">
        <v>350000</v>
      </c>
      <c r="Q27" s="22" t="s">
        <v>24</v>
      </c>
      <c r="R27" s="25">
        <v>370000</v>
      </c>
      <c r="S27" s="26">
        <v>2990</v>
      </c>
      <c r="U27" s="253"/>
      <c r="W27" s="211"/>
    </row>
    <row r="28" spans="1:27" s="24" customFormat="1" ht="19.5" customHeight="1">
      <c r="A28" s="33"/>
      <c r="B28" s="33"/>
      <c r="C28" s="33"/>
      <c r="D28" s="27"/>
      <c r="E28" s="28"/>
      <c r="F28" s="28"/>
      <c r="G28" s="33"/>
      <c r="H28" s="35"/>
      <c r="I28" s="33"/>
      <c r="J28" s="33"/>
      <c r="K28" s="33"/>
      <c r="L28" s="33"/>
      <c r="M28" s="214"/>
      <c r="N28" s="21"/>
      <c r="O28" s="21"/>
      <c r="P28" s="25">
        <v>370000</v>
      </c>
      <c r="Q28" s="22" t="s">
        <v>24</v>
      </c>
      <c r="R28" s="25">
        <v>395000</v>
      </c>
      <c r="S28" s="26">
        <v>3160</v>
      </c>
      <c r="U28" s="253"/>
      <c r="W28" s="211"/>
    </row>
    <row r="29" spans="1:27" ht="19.5" customHeight="1">
      <c r="M29" s="12"/>
      <c r="N29" s="12"/>
      <c r="O29" s="12"/>
      <c r="P29" s="25">
        <v>395000</v>
      </c>
      <c r="Q29" s="22" t="s">
        <v>24</v>
      </c>
      <c r="R29" s="25">
        <v>425000</v>
      </c>
      <c r="S29" s="26">
        <v>3410</v>
      </c>
      <c r="T29" s="12"/>
      <c r="U29" s="127"/>
      <c r="V29" s="12"/>
      <c r="W29" s="254"/>
    </row>
    <row r="30" spans="1:27" ht="19.5" customHeight="1">
      <c r="M30" s="12"/>
      <c r="N30" s="12"/>
      <c r="O30" s="12"/>
      <c r="P30" s="25">
        <v>425000</v>
      </c>
      <c r="Q30" s="22" t="s">
        <v>24</v>
      </c>
      <c r="R30" s="25">
        <v>455000</v>
      </c>
      <c r="S30" s="26">
        <v>3660</v>
      </c>
      <c r="W30" s="48"/>
    </row>
    <row r="31" spans="1:27" ht="19.5" customHeight="1">
      <c r="M31" s="12"/>
      <c r="N31" s="12"/>
      <c r="O31" s="12"/>
      <c r="P31" s="25">
        <v>455000</v>
      </c>
      <c r="Q31" s="22" t="s">
        <v>24</v>
      </c>
      <c r="R31" s="25">
        <v>485000</v>
      </c>
      <c r="S31" s="26">
        <v>3910</v>
      </c>
      <c r="W31" s="48"/>
    </row>
    <row r="32" spans="1:27" ht="19.5" customHeight="1">
      <c r="P32" s="25">
        <v>485000</v>
      </c>
      <c r="Q32" s="22" t="s">
        <v>24</v>
      </c>
      <c r="R32" s="25">
        <v>515000</v>
      </c>
      <c r="S32" s="26">
        <v>4160</v>
      </c>
      <c r="W32" s="48"/>
    </row>
    <row r="33" spans="16:29" ht="19.5" customHeight="1">
      <c r="P33" s="25">
        <v>515000</v>
      </c>
      <c r="Q33" s="22" t="s">
        <v>24</v>
      </c>
      <c r="R33" s="25">
        <v>545000</v>
      </c>
      <c r="S33" s="26">
        <v>4410</v>
      </c>
      <c r="V33" s="48"/>
      <c r="W33" s="48"/>
      <c r="X33" s="48"/>
    </row>
    <row r="34" spans="16:29" ht="19.5" customHeight="1">
      <c r="P34" s="25">
        <v>545000</v>
      </c>
      <c r="Q34" s="22" t="s">
        <v>24</v>
      </c>
      <c r="R34" s="25">
        <v>575000</v>
      </c>
      <c r="S34" s="26">
        <v>4660</v>
      </c>
      <c r="V34" s="48"/>
      <c r="W34" s="48"/>
      <c r="X34" s="48"/>
    </row>
    <row r="35" spans="16:29" ht="19.5" customHeight="1">
      <c r="P35" s="25">
        <v>575000</v>
      </c>
      <c r="Q35" s="22" t="s">
        <v>24</v>
      </c>
      <c r="R35" s="25">
        <v>605000</v>
      </c>
      <c r="S35" s="26">
        <v>4910</v>
      </c>
      <c r="V35" s="48"/>
      <c r="W35" s="48"/>
      <c r="X35" s="48"/>
    </row>
    <row r="36" spans="16:29" ht="19.5" customHeight="1">
      <c r="P36" s="25">
        <v>605000</v>
      </c>
      <c r="Q36" s="22" t="s">
        <v>24</v>
      </c>
      <c r="R36" s="25"/>
      <c r="S36" s="26">
        <v>5160</v>
      </c>
      <c r="V36" s="48"/>
      <c r="W36" s="48"/>
      <c r="X36" s="48"/>
    </row>
    <row r="37" spans="16:29" ht="19.5" customHeight="1">
      <c r="P37" s="25"/>
      <c r="Q37" s="22"/>
      <c r="R37" s="25"/>
      <c r="S37" s="26"/>
      <c r="V37" s="48"/>
      <c r="W37" s="48"/>
      <c r="X37" s="48"/>
    </row>
    <row r="38" spans="16:29" ht="19.5" customHeight="1">
      <c r="P38" s="25"/>
      <c r="Q38" s="22"/>
      <c r="R38" s="30"/>
      <c r="S38" s="26"/>
      <c r="V38" s="48"/>
      <c r="W38" s="48"/>
      <c r="X38" s="48"/>
    </row>
    <row r="39" spans="16:29" ht="21.65" customHeight="1">
      <c r="P39" s="30"/>
      <c r="Q39" s="22"/>
      <c r="R39" s="30"/>
      <c r="S39" s="31"/>
      <c r="V39" s="48"/>
      <c r="W39" s="48"/>
      <c r="X39" s="48"/>
    </row>
    <row r="40" spans="16:29" ht="19.5" customHeight="1">
      <c r="P40" s="30"/>
      <c r="Q40" s="22"/>
      <c r="R40" s="32"/>
      <c r="S40" s="31"/>
      <c r="V40" s="48"/>
      <c r="W40" s="48"/>
      <c r="X40" s="48"/>
    </row>
    <row r="41" spans="16:29" ht="21.75" customHeight="1"/>
    <row r="44" spans="16:29" ht="20.149999999999999" customHeight="1">
      <c r="X44" s="313"/>
      <c r="Y44" s="313"/>
      <c r="Z44" s="313"/>
      <c r="AA44" s="313"/>
      <c r="AB44" s="313"/>
      <c r="AC44" s="313"/>
    </row>
    <row r="45" spans="16:29" ht="20.149999999999999" customHeight="1">
      <c r="X45" s="78"/>
      <c r="Y45" s="77"/>
      <c r="Z45" s="78"/>
      <c r="AA45" s="78"/>
      <c r="AB45" s="77"/>
      <c r="AC45" s="78"/>
    </row>
    <row r="46" spans="16:29" ht="20.149999999999999" customHeight="1">
      <c r="X46" s="78"/>
      <c r="Y46" s="77"/>
      <c r="Z46" s="79"/>
      <c r="AA46" s="78"/>
      <c r="AB46" s="77"/>
      <c r="AC46" s="78"/>
    </row>
    <row r="47" spans="16:29" ht="20.149999999999999" customHeight="1">
      <c r="X47" s="78"/>
      <c r="Y47" s="77"/>
      <c r="Z47" s="78"/>
      <c r="AA47" s="78"/>
      <c r="AB47" s="77"/>
      <c r="AC47" s="78"/>
    </row>
    <row r="48" spans="16:29" ht="20.149999999999999" customHeight="1">
      <c r="X48" s="78"/>
      <c r="Y48" s="77"/>
      <c r="Z48" s="78"/>
      <c r="AA48" s="78"/>
      <c r="AB48" s="77"/>
      <c r="AC48" s="78"/>
    </row>
    <row r="49" spans="24:29" ht="20.149999999999999" customHeight="1">
      <c r="X49" s="78"/>
      <c r="Y49" s="77"/>
      <c r="Z49" s="78"/>
      <c r="AA49" s="78"/>
      <c r="AB49" s="77"/>
      <c r="AC49" s="78"/>
    </row>
    <row r="50" spans="24:29" ht="20.149999999999999" customHeight="1">
      <c r="X50" s="78"/>
      <c r="Y50" s="77"/>
      <c r="Z50" s="78"/>
      <c r="AA50" s="78"/>
      <c r="AB50" s="77"/>
      <c r="AC50" s="78"/>
    </row>
    <row r="51" spans="24:29" ht="20.149999999999999" customHeight="1">
      <c r="X51" s="78"/>
      <c r="Y51" s="77"/>
      <c r="Z51" s="78"/>
      <c r="AA51" s="78"/>
      <c r="AB51" s="77"/>
      <c r="AC51" s="78"/>
    </row>
    <row r="52" spans="24:29" ht="20.149999999999999" customHeight="1">
      <c r="X52" s="78"/>
      <c r="Y52" s="77"/>
      <c r="Z52" s="78"/>
      <c r="AA52" s="78"/>
      <c r="AB52" s="77"/>
      <c r="AC52" s="78"/>
    </row>
    <row r="53" spans="24:29" ht="20.149999999999999" customHeight="1">
      <c r="X53" s="78"/>
      <c r="Y53" s="77"/>
      <c r="Z53" s="78"/>
      <c r="AA53" s="78"/>
      <c r="AB53" s="77"/>
      <c r="AC53" s="78"/>
    </row>
    <row r="54" spans="24:29" ht="20.149999999999999" customHeight="1">
      <c r="X54" s="78"/>
      <c r="Y54" s="78"/>
      <c r="Z54" s="78"/>
      <c r="AA54" s="78"/>
      <c r="AB54" s="77"/>
      <c r="AC54" s="78"/>
    </row>
    <row r="55" spans="24:29" ht="20.149999999999999" customHeight="1">
      <c r="X55" s="78"/>
      <c r="Y55" s="78"/>
      <c r="Z55" s="78"/>
      <c r="AA55" s="78"/>
      <c r="AB55" s="77"/>
      <c r="AC55" s="78"/>
    </row>
    <row r="56" spans="24:29" ht="20.149999999999999" customHeight="1">
      <c r="X56" s="78"/>
      <c r="Y56" s="78"/>
      <c r="Z56" s="78"/>
      <c r="AA56" s="78"/>
      <c r="AB56" s="77"/>
      <c r="AC56" s="78"/>
    </row>
    <row r="57" spans="24:29" ht="20.149999999999999" customHeight="1">
      <c r="X57" s="78"/>
      <c r="Y57" s="78"/>
      <c r="Z57" s="78"/>
      <c r="AA57" s="78"/>
      <c r="AB57" s="77"/>
      <c r="AC57" s="78"/>
    </row>
    <row r="58" spans="24:29" ht="20.149999999999999" customHeight="1">
      <c r="X58" s="78"/>
      <c r="Y58" s="78"/>
      <c r="Z58" s="78"/>
      <c r="AA58" s="78"/>
      <c r="AB58" s="77"/>
      <c r="AC58" s="78"/>
    </row>
    <row r="59" spans="24:29" ht="20.149999999999999" customHeight="1">
      <c r="X59" s="78"/>
      <c r="Y59" s="78"/>
      <c r="Z59" s="78"/>
      <c r="AA59" s="78"/>
      <c r="AB59" s="77"/>
      <c r="AC59" s="78"/>
    </row>
    <row r="60" spans="24:29" ht="20.149999999999999" customHeight="1">
      <c r="X60" s="78"/>
      <c r="Y60" s="78"/>
      <c r="Z60" s="78"/>
      <c r="AA60" s="78"/>
      <c r="AB60" s="77"/>
      <c r="AC60" s="78"/>
    </row>
    <row r="61" spans="24:29" ht="20.149999999999999" customHeight="1">
      <c r="X61" s="78"/>
      <c r="Y61" s="78"/>
      <c r="Z61" s="78"/>
      <c r="AA61" s="78"/>
      <c r="AB61" s="77"/>
      <c r="AC61" s="78"/>
    </row>
    <row r="62" spans="24:29" ht="20.149999999999999" customHeight="1">
      <c r="X62" s="78"/>
      <c r="Y62" s="78"/>
      <c r="Z62" s="78"/>
      <c r="AA62" s="78"/>
      <c r="AB62" s="77"/>
      <c r="AC62" s="78"/>
    </row>
    <row r="63" spans="24:29" ht="20.149999999999999" customHeight="1">
      <c r="X63" s="78"/>
      <c r="Y63" s="78"/>
      <c r="Z63" s="78"/>
      <c r="AA63" s="78"/>
      <c r="AB63" s="77"/>
      <c r="AC63" s="78"/>
    </row>
    <row r="64" spans="24:29" ht="20.149999999999999" customHeight="1">
      <c r="X64" s="78"/>
      <c r="Y64" s="78"/>
      <c r="Z64" s="78"/>
      <c r="AA64" s="78"/>
      <c r="AB64" s="77"/>
      <c r="AC64" s="78"/>
    </row>
    <row r="65" spans="24:29" ht="20.149999999999999" customHeight="1">
      <c r="X65" s="78"/>
      <c r="Y65" s="78"/>
      <c r="Z65" s="78"/>
      <c r="AA65" s="78"/>
      <c r="AB65" s="77"/>
      <c r="AC65" s="78"/>
    </row>
    <row r="66" spans="24:29" ht="20.149999999999999" customHeight="1">
      <c r="X66" s="78"/>
      <c r="Y66" s="78"/>
      <c r="Z66" s="78"/>
      <c r="AA66" s="78"/>
      <c r="AB66" s="77"/>
      <c r="AC66" s="78"/>
    </row>
    <row r="67" spans="24:29" ht="20.149999999999999" customHeight="1">
      <c r="X67" s="78"/>
      <c r="Y67" s="78"/>
      <c r="Z67" s="78"/>
      <c r="AA67" s="78"/>
      <c r="AB67" s="77"/>
      <c r="AC67" s="78"/>
    </row>
    <row r="68" spans="24:29" ht="20.149999999999999" customHeight="1">
      <c r="X68" s="78"/>
      <c r="Y68" s="78"/>
      <c r="Z68" s="78"/>
      <c r="AA68" s="78"/>
      <c r="AB68" s="77"/>
      <c r="AC68" s="78"/>
    </row>
    <row r="69" spans="24:29" ht="20.149999999999999" customHeight="1">
      <c r="X69" s="78"/>
      <c r="Y69" s="78"/>
      <c r="Z69" s="78"/>
      <c r="AA69" s="78"/>
      <c r="AB69" s="77"/>
      <c r="AC69" s="78"/>
    </row>
    <row r="70" spans="24:29" ht="20.149999999999999" customHeight="1">
      <c r="X70" s="78"/>
      <c r="Y70" s="78"/>
      <c r="Z70" s="78"/>
      <c r="AA70" s="78"/>
      <c r="AB70" s="77"/>
      <c r="AC70" s="78"/>
    </row>
    <row r="71" spans="24:29" ht="20.149999999999999" customHeight="1">
      <c r="X71" s="78"/>
      <c r="Y71" s="78"/>
      <c r="Z71" s="78"/>
      <c r="AA71" s="78"/>
      <c r="AB71" s="77"/>
      <c r="AC71" s="78"/>
    </row>
    <row r="72" spans="24:29" ht="20.149999999999999" customHeight="1">
      <c r="X72" s="78"/>
      <c r="Y72" s="78"/>
      <c r="Z72" s="78"/>
      <c r="AA72" s="78"/>
      <c r="AB72" s="77"/>
      <c r="AC72" s="78"/>
    </row>
    <row r="73" spans="24:29" ht="20.149999999999999" customHeight="1">
      <c r="X73" s="78"/>
      <c r="Y73" s="78"/>
      <c r="Z73" s="78"/>
      <c r="AA73" s="78"/>
      <c r="AB73" s="77"/>
      <c r="AC73" s="78"/>
    </row>
    <row r="74" spans="24:29" ht="20.149999999999999" customHeight="1">
      <c r="X74" s="78"/>
      <c r="Y74" s="78"/>
      <c r="Z74" s="78"/>
      <c r="AA74" s="78"/>
      <c r="AB74" s="77"/>
      <c r="AC74" s="78"/>
    </row>
    <row r="75" spans="24:29" ht="20.149999999999999" customHeight="1">
      <c r="X75" s="78"/>
      <c r="Y75" s="78"/>
      <c r="Z75" s="78"/>
      <c r="AA75" s="78"/>
      <c r="AB75" s="77"/>
      <c r="AC75" s="78"/>
    </row>
    <row r="76" spans="24:29" ht="20.149999999999999" customHeight="1">
      <c r="X76" s="78"/>
      <c r="Y76" s="78"/>
      <c r="Z76" s="78"/>
      <c r="AA76" s="78"/>
      <c r="AB76" s="77"/>
      <c r="AC76" s="78"/>
    </row>
    <row r="77" spans="24:29" ht="20.149999999999999" customHeight="1">
      <c r="X77" s="78"/>
      <c r="Y77" s="78"/>
      <c r="Z77" s="78"/>
      <c r="AA77" s="78"/>
      <c r="AB77" s="77"/>
      <c r="AC77" s="78"/>
    </row>
    <row r="78" spans="24:29" ht="20.149999999999999" customHeight="1">
      <c r="X78" s="78"/>
      <c r="Y78" s="78"/>
      <c r="Z78" s="78"/>
      <c r="AA78" s="78"/>
      <c r="AB78" s="77"/>
      <c r="AC78" s="78"/>
    </row>
    <row r="79" spans="24:29" ht="20.149999999999999" customHeight="1">
      <c r="X79" s="78"/>
      <c r="Y79" s="78"/>
      <c r="Z79" s="78"/>
      <c r="AA79" s="78"/>
      <c r="AB79" s="78"/>
      <c r="AC79" s="78"/>
    </row>
    <row r="80" spans="24:29" ht="20.149999999999999" customHeight="1">
      <c r="X80" s="78"/>
      <c r="Y80" s="78"/>
      <c r="Z80" s="78"/>
      <c r="AA80" s="78"/>
      <c r="AB80" s="78"/>
      <c r="AC80" s="78"/>
    </row>
  </sheetData>
  <sheetProtection sheet="1" objects="1" scenarios="1" selectLockedCells="1" selectUnlockedCells="1"/>
  <mergeCells count="23">
    <mergeCell ref="X44:AC44"/>
    <mergeCell ref="A6:C6"/>
    <mergeCell ref="A5:C5"/>
    <mergeCell ref="A18:G18"/>
    <mergeCell ref="A7:C7"/>
    <mergeCell ref="D7:E7"/>
    <mergeCell ref="A8:B8"/>
    <mergeCell ref="A9:B9"/>
    <mergeCell ref="P7:S7"/>
    <mergeCell ref="P8:R8"/>
    <mergeCell ref="A10:B10"/>
    <mergeCell ref="A11:B11"/>
    <mergeCell ref="A12:B12"/>
    <mergeCell ref="A13:B13"/>
    <mergeCell ref="A14:B14"/>
    <mergeCell ref="A15:B15"/>
    <mergeCell ref="A17:B17"/>
    <mergeCell ref="A2:L2"/>
    <mergeCell ref="A3:L3"/>
    <mergeCell ref="A4:L4"/>
    <mergeCell ref="D5:L5"/>
    <mergeCell ref="D6:L6"/>
    <mergeCell ref="A16:B16"/>
  </mergeCells>
  <phoneticPr fontId="3"/>
  <dataValidations count="1">
    <dataValidation type="list" allowBlank="1" showInputMessage="1" showErrorMessage="1" sqref="M8:M28" xr:uid="{00000000-0002-0000-0300-000000000000}">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R80"/>
  <sheetViews>
    <sheetView view="pageBreakPreview" zoomScaleNormal="100" zoomScaleSheetLayoutView="100" workbookViewId="0">
      <selection activeCell="A2" sqref="A2:L2"/>
    </sheetView>
  </sheetViews>
  <sheetFormatPr defaultColWidth="9" defaultRowHeight="20.149999999999999" customHeight="1"/>
  <cols>
    <col min="1" max="3" width="5" style="33" customWidth="1"/>
    <col min="4" max="4" width="4.453125" style="33" bestFit="1" customWidth="1"/>
    <col min="5" max="5" width="5.7265625" style="34" customWidth="1"/>
    <col min="6" max="6" width="5.7265625" style="34" hidden="1" customWidth="1"/>
    <col min="7" max="7" width="6.08984375" style="33" customWidth="1"/>
    <col min="8" max="8" width="9.26953125" style="35" hidden="1" customWidth="1"/>
    <col min="9" max="9" width="12.7265625" style="33" customWidth="1"/>
    <col min="10" max="10" width="10.7265625" style="33" customWidth="1"/>
    <col min="11" max="12" width="15.7265625" style="33" customWidth="1"/>
    <col min="13" max="13" width="9" style="13" customWidth="1"/>
    <col min="14" max="16384" width="9" style="13"/>
  </cols>
  <sheetData>
    <row r="1" spans="1:18" ht="20.149999999999999" customHeight="1">
      <c r="A1" s="74" t="s">
        <v>184</v>
      </c>
    </row>
    <row r="2" spans="1:18" ht="20.149999999999999" customHeight="1">
      <c r="A2" s="305" t="s">
        <v>140</v>
      </c>
      <c r="B2" s="305"/>
      <c r="C2" s="305"/>
      <c r="D2" s="305"/>
      <c r="E2" s="305"/>
      <c r="F2" s="305"/>
      <c r="G2" s="305"/>
      <c r="H2" s="305"/>
      <c r="I2" s="305"/>
      <c r="J2" s="305"/>
      <c r="K2" s="305"/>
      <c r="L2" s="305"/>
    </row>
    <row r="3" spans="1:18" ht="23.25" customHeight="1">
      <c r="A3" s="306" t="s">
        <v>10</v>
      </c>
      <c r="B3" s="306"/>
      <c r="C3" s="306"/>
      <c r="D3" s="306"/>
      <c r="E3" s="306"/>
      <c r="F3" s="306"/>
      <c r="G3" s="307"/>
      <c r="H3" s="307"/>
      <c r="I3" s="307"/>
      <c r="J3" s="307"/>
      <c r="K3" s="307"/>
      <c r="L3" s="307"/>
    </row>
    <row r="4" spans="1:18" ht="23.25" customHeight="1">
      <c r="A4" s="308" t="str">
        <f>IF(初期条件設定表!V32=1,初期条件設定表!P42,初期条件設定表!P43)</f>
        <v>報告期間：2026年 2月 ～ 2026年10月まで（遂行状況報告分）</v>
      </c>
      <c r="B4" s="308"/>
      <c r="C4" s="308"/>
      <c r="D4" s="308"/>
      <c r="E4" s="308"/>
      <c r="F4" s="308"/>
      <c r="G4" s="309"/>
      <c r="H4" s="309"/>
      <c r="I4" s="309"/>
      <c r="J4" s="309"/>
      <c r="K4" s="309"/>
      <c r="L4" s="309"/>
    </row>
    <row r="5" spans="1:18" ht="29.25" customHeight="1">
      <c r="A5" s="314" t="s">
        <v>27</v>
      </c>
      <c r="B5" s="314"/>
      <c r="C5" s="314"/>
      <c r="D5" s="310" t="str">
        <f>'入力用 従事者別直接人件費集計表（前期）'!D5</f>
        <v>○○△△株式会社</v>
      </c>
      <c r="E5" s="311"/>
      <c r="F5" s="311"/>
      <c r="G5" s="311"/>
      <c r="H5" s="311"/>
      <c r="I5" s="311"/>
      <c r="J5" s="311"/>
      <c r="K5" s="311"/>
      <c r="L5" s="312"/>
    </row>
    <row r="6" spans="1:18" ht="29.25" customHeight="1">
      <c r="A6" s="314" t="s">
        <v>26</v>
      </c>
      <c r="B6" s="314"/>
      <c r="C6" s="314"/>
      <c r="D6" s="310" t="str">
        <f>'入力用 従事者別直接人件費集計表（前期）'!D6</f>
        <v>公社　太郎</v>
      </c>
      <c r="E6" s="311"/>
      <c r="F6" s="311"/>
      <c r="G6" s="311"/>
      <c r="H6" s="311"/>
      <c r="I6" s="311"/>
      <c r="J6" s="311"/>
      <c r="K6" s="311"/>
      <c r="L6" s="312"/>
    </row>
    <row r="7" spans="1:18" s="16" customFormat="1" ht="60" customHeight="1">
      <c r="A7" s="318" t="s">
        <v>11</v>
      </c>
      <c r="B7" s="319"/>
      <c r="C7" s="331"/>
      <c r="D7" s="321" t="s">
        <v>103</v>
      </c>
      <c r="E7" s="332"/>
      <c r="F7" s="128" t="s">
        <v>36</v>
      </c>
      <c r="G7" s="124" t="s">
        <v>13</v>
      </c>
      <c r="H7" s="121" t="s">
        <v>132</v>
      </c>
      <c r="I7" s="122" t="s">
        <v>14</v>
      </c>
      <c r="J7" s="120" t="s">
        <v>15</v>
      </c>
      <c r="K7" s="123" t="s">
        <v>16</v>
      </c>
      <c r="L7" s="120" t="s">
        <v>17</v>
      </c>
    </row>
    <row r="8" spans="1:18" s="24" customFormat="1" ht="24.9" customHeight="1">
      <c r="A8" s="323">
        <f>'入力用 従事者別直接人件費集計表（前期）'!A8</f>
        <v>2026</v>
      </c>
      <c r="B8" s="324"/>
      <c r="C8" s="217" t="s">
        <v>11</v>
      </c>
      <c r="D8" s="198">
        <f>'入力用 従事者別直接人件費集計表（前期）'!D8</f>
        <v>2</v>
      </c>
      <c r="E8" s="199" t="s">
        <v>20</v>
      </c>
      <c r="F8" s="196">
        <v>1</v>
      </c>
      <c r="G8" s="197">
        <f>'入力用 従事者別直接人件費集計表（前期）'!G8</f>
        <v>0</v>
      </c>
      <c r="H8" s="17"/>
      <c r="I8" s="18" t="str">
        <f>'入力用 従事者別直接人件費集計表（前期）'!I8</f>
        <v>0</v>
      </c>
      <c r="J8" s="268" t="str">
        <f>'入力用 従事者別直接人件費集計表（前期）'!J8</f>
        <v>0.0</v>
      </c>
      <c r="K8" s="19">
        <f>'入力用 従事者別直接人件費集計表（前期）'!K8</f>
        <v>0</v>
      </c>
      <c r="L8" s="20">
        <f>'入力用 従事者別直接人件費集計表（前期）'!L8</f>
        <v>0</v>
      </c>
      <c r="R8" s="267"/>
    </row>
    <row r="9" spans="1:18" s="24" customFormat="1" ht="24.9" customHeight="1">
      <c r="A9" s="329">
        <f>'入力用 従事者別直接人件費集計表（前期）'!A9</f>
        <v>2026</v>
      </c>
      <c r="B9" s="330"/>
      <c r="C9" s="112" t="s">
        <v>11</v>
      </c>
      <c r="D9" s="198">
        <f>'入力用 従事者別直接人件費集計表（前期）'!D9</f>
        <v>3</v>
      </c>
      <c r="E9" s="199" t="s">
        <v>20</v>
      </c>
      <c r="F9" s="196">
        <v>1</v>
      </c>
      <c r="G9" s="197">
        <f>'入力用 従事者別直接人件費集計表（前期）'!G9</f>
        <v>550000</v>
      </c>
      <c r="H9" s="17"/>
      <c r="I9" s="18">
        <f>'入力用 従事者別直接人件費集計表（前期）'!I9</f>
        <v>4660</v>
      </c>
      <c r="J9" s="36">
        <f>'入力用 従事者別直接人件費集計表（前期）'!J9</f>
        <v>37.5</v>
      </c>
      <c r="K9" s="19">
        <f>'入力用 従事者別直接人件費集計表（前期）'!K9</f>
        <v>174750</v>
      </c>
      <c r="L9" s="20">
        <f>'入力用 従事者別直接人件費集計表（前期）'!L9</f>
        <v>174750</v>
      </c>
    </row>
    <row r="10" spans="1:18" s="24" customFormat="1" ht="24.9" customHeight="1">
      <c r="A10" s="329">
        <f>'入力用 従事者別直接人件費集計表（前期）'!A10</f>
        <v>2026</v>
      </c>
      <c r="B10" s="330"/>
      <c r="C10" s="112" t="s">
        <v>11</v>
      </c>
      <c r="D10" s="198">
        <f>'入力用 従事者別直接人件費集計表（前期）'!D10</f>
        <v>4</v>
      </c>
      <c r="E10" s="199" t="s">
        <v>20</v>
      </c>
      <c r="F10" s="196">
        <f t="shared" ref="F10:F15" si="0">F9</f>
        <v>1</v>
      </c>
      <c r="G10" s="197">
        <f>'入力用 従事者別直接人件費集計表（前期）'!G10</f>
        <v>580000</v>
      </c>
      <c r="H10" s="17"/>
      <c r="I10" s="18">
        <f>'入力用 従事者別直接人件費集計表（前期）'!I10</f>
        <v>4660</v>
      </c>
      <c r="J10" s="36">
        <f>'入力用 従事者別直接人件費集計表（前期）'!J10</f>
        <v>38.5</v>
      </c>
      <c r="K10" s="19">
        <f>'入力用 従事者別直接人件費集計表（前期）'!K10</f>
        <v>179410</v>
      </c>
      <c r="L10" s="20">
        <f>'入力用 従事者別直接人件費集計表（前期）'!L10</f>
        <v>179410</v>
      </c>
    </row>
    <row r="11" spans="1:18" s="24" customFormat="1" ht="24.9" customHeight="1">
      <c r="A11" s="329">
        <f>'入力用 従事者別直接人件費集計表（前期）'!A11</f>
        <v>2026</v>
      </c>
      <c r="B11" s="330"/>
      <c r="C11" s="112" t="s">
        <v>11</v>
      </c>
      <c r="D11" s="198">
        <f>'入力用 従事者別直接人件費集計表（前期）'!D11</f>
        <v>5</v>
      </c>
      <c r="E11" s="199" t="s">
        <v>20</v>
      </c>
      <c r="F11" s="196">
        <f t="shared" si="0"/>
        <v>1</v>
      </c>
      <c r="G11" s="197">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8" s="24" customFormat="1" ht="24.9" customHeight="1">
      <c r="A12" s="329">
        <f>'入力用 従事者別直接人件費集計表（前期）'!A12</f>
        <v>2026</v>
      </c>
      <c r="B12" s="330"/>
      <c r="C12" s="112" t="s">
        <v>11</v>
      </c>
      <c r="D12" s="198">
        <f>'入力用 従事者別直接人件費集計表（前期）'!D12</f>
        <v>6</v>
      </c>
      <c r="E12" s="199" t="s">
        <v>20</v>
      </c>
      <c r="F12" s="196">
        <f t="shared" si="0"/>
        <v>1</v>
      </c>
      <c r="G12" s="197">
        <f>'入力用 従事者別直接人件費集計表（前期）'!G12</f>
        <v>600000</v>
      </c>
      <c r="H12" s="17"/>
      <c r="I12" s="18">
        <f>'入力用 従事者別直接人件費集計表（前期）'!I12</f>
        <v>4660</v>
      </c>
      <c r="J12" s="36">
        <f>'入力用 従事者別直接人件費集計表（前期）'!J12</f>
        <v>55</v>
      </c>
      <c r="K12" s="19">
        <f>'入力用 従事者別直接人件費集計表（前期）'!K12</f>
        <v>256300</v>
      </c>
      <c r="L12" s="20">
        <f>'入力用 従事者別直接人件費集計表（前期）'!L12</f>
        <v>256300</v>
      </c>
    </row>
    <row r="13" spans="1:18" s="24" customFormat="1" ht="24.9" customHeight="1">
      <c r="A13" s="329">
        <f>'入力用 従事者別直接人件費集計表（前期）'!A13</f>
        <v>2026</v>
      </c>
      <c r="B13" s="330"/>
      <c r="C13" s="112" t="s">
        <v>11</v>
      </c>
      <c r="D13" s="198">
        <f>'入力用 従事者別直接人件費集計表（前期）'!D13</f>
        <v>7</v>
      </c>
      <c r="E13" s="199" t="s">
        <v>20</v>
      </c>
      <c r="F13" s="196">
        <f t="shared" si="0"/>
        <v>1</v>
      </c>
      <c r="G13" s="197">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8" s="24" customFormat="1" ht="24.9" customHeight="1">
      <c r="A14" s="329">
        <f>'入力用 従事者別直接人件費集計表（前期）'!A14</f>
        <v>2026</v>
      </c>
      <c r="B14" s="330"/>
      <c r="C14" s="112" t="s">
        <v>11</v>
      </c>
      <c r="D14" s="198">
        <f>'入力用 従事者別直接人件費集計表（前期）'!D14</f>
        <v>8</v>
      </c>
      <c r="E14" s="199" t="s">
        <v>20</v>
      </c>
      <c r="F14" s="196">
        <f t="shared" si="0"/>
        <v>1</v>
      </c>
      <c r="G14" s="197">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8" s="24" customFormat="1" ht="24.9" customHeight="1">
      <c r="A15" s="329">
        <f>'入力用 従事者別直接人件費集計表（前期）'!A15</f>
        <v>2026</v>
      </c>
      <c r="B15" s="330"/>
      <c r="C15" s="112" t="s">
        <v>11</v>
      </c>
      <c r="D15" s="198">
        <f>'入力用 従事者別直接人件費集計表（前期）'!D15</f>
        <v>9</v>
      </c>
      <c r="E15" s="199" t="s">
        <v>20</v>
      </c>
      <c r="F15" s="196">
        <f t="shared" si="0"/>
        <v>1</v>
      </c>
      <c r="G15" s="197">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8" s="24" customFormat="1" ht="24.9" customHeight="1">
      <c r="A16" s="329">
        <f>'入力用 従事者別直接人件費集計表（前期）'!A16</f>
        <v>2026</v>
      </c>
      <c r="B16" s="330"/>
      <c r="C16" s="112" t="s">
        <v>11</v>
      </c>
      <c r="D16" s="198">
        <f>'入力用 従事者別直接人件費集計表（前期）'!D16</f>
        <v>10</v>
      </c>
      <c r="E16" s="199" t="s">
        <v>20</v>
      </c>
      <c r="F16" s="196">
        <f>F14</f>
        <v>1</v>
      </c>
      <c r="G16" s="197">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4.9" customHeight="1" thickBot="1">
      <c r="A17" s="329">
        <f>'入力用 従事者別直接人件費集計表（前期）'!A17</f>
        <v>2026</v>
      </c>
      <c r="B17" s="330"/>
      <c r="C17" s="112" t="s">
        <v>11</v>
      </c>
      <c r="D17" s="198">
        <f>'入力用 従事者別直接人件費集計表（前期）'!D17</f>
        <v>11</v>
      </c>
      <c r="E17" s="199" t="s">
        <v>20</v>
      </c>
      <c r="F17" s="196">
        <f>F15</f>
        <v>1</v>
      </c>
      <c r="G17" s="197">
        <f>'入力用 従事者別直接人件費集計表（前期）'!G17</f>
        <v>0</v>
      </c>
      <c r="H17" s="17"/>
      <c r="I17" s="18" t="str">
        <f>'入力用 従事者別直接人件費集計表（前期）'!I17</f>
        <v>0</v>
      </c>
      <c r="J17" s="36">
        <f>'入力用 従事者別直接人件費集計表（前期）'!J17</f>
        <v>0</v>
      </c>
      <c r="K17" s="19">
        <f>'入力用 従事者別直接人件費集計表（前期）'!K17</f>
        <v>0</v>
      </c>
      <c r="L17" s="20">
        <f>'入力用 従事者別直接人件費集計表（前期）'!L17</f>
        <v>0</v>
      </c>
    </row>
    <row r="18" spans="1:14" s="24" customFormat="1" ht="24.9" customHeight="1" thickBot="1">
      <c r="A18" s="315" t="s">
        <v>25</v>
      </c>
      <c r="B18" s="316"/>
      <c r="C18" s="316"/>
      <c r="D18" s="316"/>
      <c r="E18" s="316"/>
      <c r="F18" s="316"/>
      <c r="G18" s="317"/>
      <c r="H18" s="119"/>
      <c r="I18" s="115"/>
      <c r="J18" s="116">
        <f>SUM(J8:J17)</f>
        <v>131</v>
      </c>
      <c r="K18" s="117">
        <f>SUM(K8:K17)</f>
        <v>610460</v>
      </c>
      <c r="L18" s="118">
        <f>SUM(L8:L17)</f>
        <v>610460</v>
      </c>
    </row>
    <row r="19" spans="1:14" s="24" customFormat="1" ht="24.9" customHeight="1">
      <c r="A19" s="201"/>
      <c r="B19" s="201"/>
      <c r="C19" s="201"/>
      <c r="D19" s="205"/>
      <c r="E19" s="202"/>
      <c r="F19" s="202"/>
      <c r="G19" s="201"/>
      <c r="H19" s="203"/>
      <c r="I19" s="201"/>
      <c r="J19" s="201"/>
      <c r="K19" s="201"/>
      <c r="L19" s="201"/>
    </row>
    <row r="20" spans="1:14" s="24" customFormat="1" ht="24.9" customHeight="1">
      <c r="A20" s="27"/>
      <c r="B20" s="27"/>
      <c r="C20" s="206"/>
      <c r="D20" s="206"/>
      <c r="E20" s="206"/>
      <c r="F20" s="206"/>
      <c r="G20" s="206"/>
      <c r="H20" s="29"/>
      <c r="I20" s="27"/>
      <c r="J20" s="27"/>
      <c r="K20" s="27"/>
      <c r="L20" s="27"/>
    </row>
    <row r="21" spans="1:14" s="24" customFormat="1" ht="24.9" customHeight="1">
      <c r="A21" s="33"/>
      <c r="B21" s="33"/>
      <c r="C21" s="33"/>
      <c r="D21" s="33"/>
      <c r="E21" s="33"/>
      <c r="F21" s="33"/>
      <c r="G21" s="33"/>
      <c r="H21" s="35"/>
      <c r="I21" s="33"/>
      <c r="J21" s="33"/>
      <c r="K21" s="33"/>
      <c r="L21" s="33"/>
    </row>
    <row r="22" spans="1:14" ht="24.9" customHeight="1">
      <c r="E22" s="33"/>
      <c r="F22" s="33"/>
      <c r="M22" s="24"/>
      <c r="N22" s="24"/>
    </row>
    <row r="23" spans="1:14" s="24" customFormat="1" ht="24.9" customHeight="1">
      <c r="A23" s="33"/>
      <c r="B23" s="33"/>
      <c r="C23" s="33"/>
      <c r="D23" s="33"/>
      <c r="E23" s="33"/>
      <c r="F23" s="33"/>
      <c r="G23" s="33"/>
      <c r="H23" s="35"/>
      <c r="I23" s="33"/>
      <c r="J23" s="33"/>
      <c r="K23" s="33"/>
      <c r="L23" s="33"/>
    </row>
    <row r="24" spans="1:14" s="24" customFormat="1" ht="24.9" customHeight="1">
      <c r="A24" s="33"/>
      <c r="B24" s="33"/>
      <c r="C24" s="33"/>
      <c r="D24" s="27"/>
      <c r="E24" s="28"/>
      <c r="F24" s="28"/>
      <c r="G24" s="33"/>
      <c r="H24" s="35"/>
      <c r="I24" s="33"/>
      <c r="J24" s="33"/>
      <c r="K24" s="33"/>
      <c r="L24" s="33"/>
    </row>
    <row r="25" spans="1:14" s="24" customFormat="1" ht="24.9" customHeight="1">
      <c r="A25" s="33"/>
      <c r="B25" s="33"/>
      <c r="C25" s="33"/>
      <c r="D25" s="33"/>
      <c r="E25" s="33"/>
      <c r="F25" s="33"/>
      <c r="G25" s="33"/>
      <c r="H25" s="35"/>
      <c r="I25" s="33"/>
      <c r="J25" s="33"/>
      <c r="K25" s="33"/>
      <c r="L25" s="33"/>
    </row>
    <row r="26" spans="1:14" s="24" customFormat="1" ht="24.9" customHeight="1">
      <c r="A26" s="33"/>
      <c r="B26" s="33"/>
      <c r="C26" s="33"/>
      <c r="D26" s="33"/>
      <c r="E26" s="33"/>
      <c r="F26" s="33"/>
      <c r="G26" s="33"/>
      <c r="H26" s="35"/>
      <c r="I26" s="33"/>
      <c r="J26" s="33"/>
      <c r="K26" s="33"/>
      <c r="L26" s="33"/>
    </row>
    <row r="27" spans="1:14" s="24" customFormat="1" ht="24.9" customHeight="1">
      <c r="A27" s="33"/>
      <c r="B27" s="33"/>
      <c r="C27" s="33"/>
      <c r="D27" s="27"/>
      <c r="E27" s="28"/>
      <c r="F27" s="28"/>
      <c r="G27" s="33"/>
      <c r="H27" s="35"/>
      <c r="I27" s="33"/>
      <c r="J27" s="33"/>
      <c r="K27" s="33"/>
      <c r="L27" s="33"/>
    </row>
    <row r="28" spans="1:14" s="24" customFormat="1" ht="24.9" customHeight="1">
      <c r="A28" s="33"/>
      <c r="B28" s="33"/>
      <c r="C28" s="33"/>
      <c r="D28" s="27"/>
      <c r="E28" s="28"/>
      <c r="F28" s="28"/>
      <c r="G28" s="33"/>
      <c r="H28" s="35"/>
      <c r="I28" s="33"/>
      <c r="J28" s="33"/>
      <c r="K28" s="33"/>
      <c r="L28" s="33"/>
    </row>
    <row r="29" spans="1:14" ht="30" customHeight="1"/>
    <row r="30" spans="1:14" ht="19.5" customHeight="1"/>
    <row r="31" spans="1:14" ht="19.5" customHeight="1"/>
    <row r="32" spans="1:14" ht="19.5" customHeight="1"/>
    <row r="33" spans="13:16" ht="19.5" customHeight="1"/>
    <row r="34" spans="13:16" ht="19.5" customHeight="1"/>
    <row r="35" spans="13:16" ht="19.5" customHeight="1"/>
    <row r="36" spans="13:16" ht="19.5" customHeight="1"/>
    <row r="37" spans="13:16" ht="19.5" customHeight="1"/>
    <row r="38" spans="13:16" ht="19.5" customHeight="1"/>
    <row r="39" spans="13:16" ht="21.65" customHeight="1"/>
    <row r="40" spans="13:16" ht="19.5" customHeight="1"/>
    <row r="41" spans="13:16" ht="21.75" customHeight="1"/>
    <row r="44" spans="13:16" ht="20.149999999999999" customHeight="1">
      <c r="M44" s="313"/>
      <c r="N44" s="313"/>
      <c r="O44" s="313"/>
      <c r="P44" s="313"/>
    </row>
    <row r="45" spans="13:16" ht="20.149999999999999" customHeight="1">
      <c r="M45" s="78"/>
      <c r="N45" s="78"/>
      <c r="O45" s="192"/>
      <c r="P45" s="78"/>
    </row>
    <row r="46" spans="13:16" ht="20.149999999999999" customHeight="1">
      <c r="M46" s="79"/>
      <c r="N46" s="78"/>
      <c r="O46" s="192"/>
      <c r="P46" s="78"/>
    </row>
    <row r="47" spans="13:16" ht="20.149999999999999" customHeight="1">
      <c r="M47" s="78"/>
      <c r="N47" s="78"/>
      <c r="O47" s="192"/>
      <c r="P47" s="78"/>
    </row>
    <row r="48" spans="13:16" ht="20.149999999999999" customHeight="1">
      <c r="M48" s="78"/>
      <c r="N48" s="78"/>
      <c r="O48" s="192"/>
      <c r="P48" s="78"/>
    </row>
    <row r="49" spans="13:16" ht="20.149999999999999" customHeight="1">
      <c r="M49" s="78"/>
      <c r="N49" s="78"/>
      <c r="O49" s="192"/>
      <c r="P49" s="78"/>
    </row>
    <row r="50" spans="13:16" ht="20.149999999999999" customHeight="1">
      <c r="M50" s="78"/>
      <c r="N50" s="78"/>
      <c r="O50" s="192"/>
      <c r="P50" s="78"/>
    </row>
    <row r="51" spans="13:16" ht="20.149999999999999" customHeight="1">
      <c r="M51" s="78"/>
      <c r="N51" s="78"/>
      <c r="O51" s="192"/>
      <c r="P51" s="78"/>
    </row>
    <row r="52" spans="13:16" ht="20.149999999999999" customHeight="1">
      <c r="M52" s="78"/>
      <c r="N52" s="78"/>
      <c r="O52" s="192"/>
      <c r="P52" s="78"/>
    </row>
    <row r="53" spans="13:16" ht="20.149999999999999" customHeight="1">
      <c r="M53" s="78"/>
      <c r="N53" s="78"/>
      <c r="O53" s="192"/>
      <c r="P53" s="78"/>
    </row>
    <row r="54" spans="13:16" ht="20.149999999999999" customHeight="1">
      <c r="M54" s="78"/>
      <c r="N54" s="78"/>
      <c r="O54" s="192"/>
      <c r="P54" s="78"/>
    </row>
    <row r="55" spans="13:16" ht="20.149999999999999" customHeight="1">
      <c r="M55" s="78"/>
      <c r="N55" s="78"/>
      <c r="O55" s="192"/>
      <c r="P55" s="78"/>
    </row>
    <row r="56" spans="13:16" ht="20.149999999999999" customHeight="1">
      <c r="M56" s="78"/>
      <c r="N56" s="78"/>
      <c r="O56" s="192"/>
      <c r="P56" s="78"/>
    </row>
    <row r="57" spans="13:16" ht="20.149999999999999" customHeight="1">
      <c r="M57" s="78"/>
      <c r="N57" s="78"/>
      <c r="O57" s="192"/>
      <c r="P57" s="78"/>
    </row>
    <row r="58" spans="13:16" ht="20.149999999999999" customHeight="1">
      <c r="M58" s="78"/>
      <c r="N58" s="78"/>
      <c r="O58" s="192"/>
      <c r="P58" s="78"/>
    </row>
    <row r="59" spans="13:16" ht="20.149999999999999" customHeight="1">
      <c r="M59" s="78"/>
      <c r="N59" s="78"/>
      <c r="O59" s="192"/>
      <c r="P59" s="78"/>
    </row>
    <row r="60" spans="13:16" ht="20.149999999999999" customHeight="1">
      <c r="M60" s="78"/>
      <c r="N60" s="78"/>
      <c r="O60" s="192"/>
      <c r="P60" s="78"/>
    </row>
    <row r="61" spans="13:16" ht="20.149999999999999" customHeight="1">
      <c r="M61" s="78"/>
      <c r="N61" s="78"/>
      <c r="O61" s="192"/>
      <c r="P61" s="78"/>
    </row>
    <row r="62" spans="13:16" ht="20.149999999999999" customHeight="1">
      <c r="M62" s="78"/>
      <c r="N62" s="78"/>
      <c r="O62" s="192"/>
      <c r="P62" s="78"/>
    </row>
    <row r="63" spans="13:16" ht="20.149999999999999" customHeight="1">
      <c r="M63" s="78"/>
      <c r="N63" s="78"/>
      <c r="O63" s="192"/>
      <c r="P63" s="78"/>
    </row>
    <row r="64" spans="13:16" ht="20.149999999999999" customHeight="1">
      <c r="M64" s="78"/>
      <c r="N64" s="78"/>
      <c r="O64" s="192"/>
      <c r="P64" s="78"/>
    </row>
    <row r="65" spans="13:16" ht="20.149999999999999" customHeight="1">
      <c r="M65" s="78"/>
      <c r="N65" s="78"/>
      <c r="O65" s="192"/>
      <c r="P65" s="78"/>
    </row>
    <row r="66" spans="13:16" ht="20.149999999999999" customHeight="1">
      <c r="M66" s="78"/>
      <c r="N66" s="78"/>
      <c r="O66" s="192"/>
      <c r="P66" s="78"/>
    </row>
    <row r="67" spans="13:16" ht="20.149999999999999" customHeight="1">
      <c r="M67" s="78"/>
      <c r="N67" s="78"/>
      <c r="O67" s="192"/>
      <c r="P67" s="78"/>
    </row>
    <row r="68" spans="13:16" ht="20.149999999999999" customHeight="1">
      <c r="M68" s="78"/>
      <c r="N68" s="78"/>
      <c r="O68" s="192"/>
      <c r="P68" s="78"/>
    </row>
    <row r="69" spans="13:16" ht="20.149999999999999" customHeight="1">
      <c r="M69" s="78"/>
      <c r="N69" s="78"/>
      <c r="O69" s="192"/>
      <c r="P69" s="78"/>
    </row>
    <row r="70" spans="13:16" ht="20.149999999999999" customHeight="1">
      <c r="M70" s="78"/>
      <c r="N70" s="78"/>
      <c r="O70" s="192"/>
      <c r="P70" s="78"/>
    </row>
    <row r="71" spans="13:16" ht="20.149999999999999" customHeight="1">
      <c r="M71" s="78"/>
      <c r="N71" s="78"/>
      <c r="O71" s="192"/>
      <c r="P71" s="78"/>
    </row>
    <row r="72" spans="13:16" ht="20.149999999999999" customHeight="1">
      <c r="M72" s="78"/>
      <c r="N72" s="78"/>
      <c r="O72" s="192"/>
      <c r="P72" s="78"/>
    </row>
    <row r="73" spans="13:16" ht="20.149999999999999" customHeight="1">
      <c r="M73" s="78"/>
      <c r="N73" s="78"/>
      <c r="O73" s="192"/>
      <c r="P73" s="78"/>
    </row>
    <row r="74" spans="13:16" ht="20.149999999999999" customHeight="1">
      <c r="M74" s="78"/>
      <c r="N74" s="78"/>
      <c r="O74" s="192"/>
      <c r="P74" s="78"/>
    </row>
    <row r="75" spans="13:16" ht="20.149999999999999" customHeight="1">
      <c r="M75" s="78"/>
      <c r="N75" s="78"/>
      <c r="O75" s="192"/>
      <c r="P75" s="78"/>
    </row>
    <row r="76" spans="13:16" ht="20.149999999999999" customHeight="1">
      <c r="M76" s="78"/>
      <c r="N76" s="78"/>
      <c r="O76" s="192"/>
      <c r="P76" s="78"/>
    </row>
    <row r="77" spans="13:16" ht="20.149999999999999" customHeight="1">
      <c r="M77" s="78"/>
      <c r="N77" s="78"/>
      <c r="O77" s="192"/>
      <c r="P77" s="78"/>
    </row>
    <row r="78" spans="13:16" ht="20.149999999999999" customHeight="1">
      <c r="M78" s="78"/>
      <c r="N78" s="78"/>
      <c r="O78" s="192"/>
      <c r="P78" s="78"/>
    </row>
    <row r="79" spans="13:16" ht="20.149999999999999" customHeight="1">
      <c r="M79" s="78"/>
      <c r="N79" s="78"/>
      <c r="O79" s="78"/>
      <c r="P79" s="78"/>
    </row>
    <row r="80" spans="13:16" ht="20.149999999999999" customHeight="1">
      <c r="M80" s="78"/>
      <c r="N80" s="78"/>
      <c r="O80" s="78"/>
      <c r="P80" s="78"/>
    </row>
  </sheetData>
  <sheetProtection sheet="1" objects="1" scenarios="1" selectLockedCells="1" selectUnlockedCells="1"/>
  <mergeCells count="21">
    <mergeCell ref="A7:C7"/>
    <mergeCell ref="D7:E7"/>
    <mergeCell ref="A8:B8"/>
    <mergeCell ref="A9:B9"/>
    <mergeCell ref="A2:L2"/>
    <mergeCell ref="A3:L3"/>
    <mergeCell ref="A4:L4"/>
    <mergeCell ref="A5:C5"/>
    <mergeCell ref="D5:L5"/>
    <mergeCell ref="A6:C6"/>
    <mergeCell ref="D6:L6"/>
    <mergeCell ref="A15:B15"/>
    <mergeCell ref="A17:B17"/>
    <mergeCell ref="A18:G18"/>
    <mergeCell ref="M44:P44"/>
    <mergeCell ref="A10:B10"/>
    <mergeCell ref="A11:B11"/>
    <mergeCell ref="A12:B12"/>
    <mergeCell ref="A13:B13"/>
    <mergeCell ref="A14:B14"/>
    <mergeCell ref="A16:B1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39997558519241921"/>
  </sheetPr>
  <dimension ref="A1:AP51"/>
  <sheetViews>
    <sheetView view="pageBreakPreview" zoomScale="60" zoomScaleNormal="70" workbookViewId="0"/>
  </sheetViews>
  <sheetFormatPr defaultColWidth="11.26953125" defaultRowHeight="13"/>
  <cols>
    <col min="1" max="1" width="16.4531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4" width="37.7265625" style="6" customWidth="1"/>
    <col min="15" max="15" width="9.26953125" style="4" hidden="1" customWidth="1"/>
    <col min="16" max="16" width="15.453125" style="4" hidden="1" customWidth="1"/>
    <col min="17" max="18" width="11.26953125" style="4" hidden="1" customWidth="1"/>
    <col min="19" max="19" width="3.7265625" style="4" hidden="1" customWidth="1"/>
    <col min="20" max="20" width="7.453125" style="4" hidden="1" customWidth="1"/>
    <col min="21" max="21" width="5" style="4" hidden="1" customWidth="1"/>
    <col min="22" max="22" width="11.26953125" style="4" hidden="1" customWidth="1"/>
    <col min="23" max="23" width="17.7265625" style="4" hidden="1" customWidth="1"/>
    <col min="24" max="24" width="10.7265625" style="4" hidden="1" customWidth="1"/>
    <col min="25" max="25" width="16.7265625" style="4" hidden="1" customWidth="1"/>
    <col min="26" max="29" width="10.7265625" style="4" hidden="1" customWidth="1"/>
    <col min="30" max="30" width="4.26953125" style="4" hidden="1" customWidth="1"/>
    <col min="31" max="31" width="19" style="4" hidden="1" customWidth="1"/>
    <col min="32" max="32" width="12.453125" style="4" hidden="1" customWidth="1"/>
    <col min="33" max="33" width="7.7265625" style="4" hidden="1" customWidth="1"/>
    <col min="34" max="34" width="10.7265625" style="4" hidden="1" customWidth="1"/>
    <col min="35" max="35" width="9.26953125" style="4" hidden="1" customWidth="1"/>
    <col min="36" max="36" width="7.08984375" style="4" hidden="1" customWidth="1"/>
    <col min="37" max="37" width="9.26953125" style="4" hidden="1" customWidth="1"/>
    <col min="38" max="38" width="10.7265625" style="4" hidden="1" customWidth="1"/>
    <col min="39" max="39" width="9.26953125" style="4" hidden="1" customWidth="1"/>
    <col min="40" max="40" width="28" style="4" hidden="1" customWidth="1"/>
    <col min="41" max="41" width="10.7265625" style="4" hidden="1" customWidth="1"/>
    <col min="42" max="42" width="6.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（2026年3月支払分）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従事者別直接人件費集計表（前期）'!A8</f>
        <v>2026</v>
      </c>
      <c r="AK1" s="172" t="str">
        <f>AJ1&amp;"年"</f>
        <v>2026年</v>
      </c>
      <c r="AL1" s="56"/>
      <c r="AM1" s="59" t="s">
        <v>41</v>
      </c>
      <c r="AN1" s="61" t="str">
        <f ca="1">RIGHT(CELL("filename",A1),LEN(CELL("filename",A1))-FIND("]",CELL("filename",A1)))</f>
        <v>2026年2月作業分</v>
      </c>
      <c r="AO1" s="37"/>
      <c r="AP1" s="38"/>
    </row>
    <row r="2" spans="1:42" ht="24.75" customHeight="1">
      <c r="C2" s="113"/>
      <c r="D2" s="344"/>
      <c r="E2" s="344"/>
      <c r="F2" s="344"/>
      <c r="G2" s="344"/>
      <c r="H2" s="344"/>
      <c r="I2" s="344"/>
      <c r="J2" s="344"/>
      <c r="K2" s="344"/>
      <c r="L2" s="344"/>
      <c r="M2" s="344"/>
      <c r="N2" s="344"/>
      <c r="O2" s="114"/>
      <c r="P2" s="114"/>
      <c r="Q2" s="114"/>
      <c r="AD2" s="340"/>
      <c r="AE2" s="57"/>
      <c r="AF2" s="58">
        <f>初期条件設定表!$C$11</f>
        <v>0</v>
      </c>
      <c r="AG2" s="58">
        <f>初期条件設定表!$E$11</f>
        <v>0</v>
      </c>
      <c r="AH2" s="56"/>
      <c r="AI2" s="59" t="s">
        <v>12</v>
      </c>
      <c r="AJ2" s="60">
        <f>'入力用 従事者別直接人件費集計表（前期）'!D8</f>
        <v>2</v>
      </c>
      <c r="AK2" s="172" t="str">
        <f>(AJ1&amp;"-"&amp;AJ2&amp;"月")</f>
        <v>2026-2月</v>
      </c>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46054</v>
      </c>
      <c r="AK3" s="172"/>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46081</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28</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v>31</v>
      </c>
      <c r="AG6" s="56" t="s">
        <v>36</v>
      </c>
      <c r="AH6" s="347" t="s">
        <v>107</v>
      </c>
      <c r="AI6" s="347"/>
      <c r="AJ6" s="144">
        <f>初期条件設定表!$C$15</f>
        <v>0.33333333333333331</v>
      </c>
    </row>
    <row r="7" spans="1:42" s="105" customFormat="1" ht="24" customHeight="1" thickBot="1">
      <c r="A7" s="356" t="s">
        <v>7</v>
      </c>
      <c r="B7" s="358" t="s">
        <v>6</v>
      </c>
      <c r="C7" s="358"/>
      <c r="D7" s="358"/>
      <c r="E7" s="360" t="s">
        <v>5</v>
      </c>
      <c r="F7" s="361"/>
      <c r="G7" s="361"/>
      <c r="H7" s="362"/>
      <c r="I7" s="368" t="s">
        <v>106</v>
      </c>
      <c r="J7" s="368" t="s">
        <v>105</v>
      </c>
      <c r="K7" s="360" t="s">
        <v>4</v>
      </c>
      <c r="L7" s="362"/>
      <c r="M7" s="348" t="s">
        <v>115</v>
      </c>
      <c r="N7" s="349"/>
      <c r="O7" s="354" t="s">
        <v>53</v>
      </c>
      <c r="P7" s="353" t="s">
        <v>32</v>
      </c>
      <c r="Q7" s="353" t="s">
        <v>33</v>
      </c>
      <c r="R7" s="353" t="s">
        <v>54</v>
      </c>
      <c r="S7" s="353"/>
      <c r="T7" s="353" t="s">
        <v>52</v>
      </c>
      <c r="U7" s="353"/>
      <c r="V7" s="353" t="s">
        <v>55</v>
      </c>
      <c r="W7" s="350" t="s">
        <v>56</v>
      </c>
      <c r="X7" s="153"/>
      <c r="Y7" s="153"/>
      <c r="AI7" s="105" t="s">
        <v>110</v>
      </c>
      <c r="AJ7" s="173">
        <f>IF(初期条件設定表!C26="当月",'入力用 従事者別直接人件費集計表（前期）'!A8,'入力用 従事者別直接人件費集計表（前期）'!A9)</f>
        <v>2026</v>
      </c>
    </row>
    <row r="8" spans="1:42" s="105" customFormat="1" ht="24" customHeight="1" thickBot="1">
      <c r="A8" s="357"/>
      <c r="B8" s="359"/>
      <c r="C8" s="359"/>
      <c r="D8" s="359"/>
      <c r="E8" s="363"/>
      <c r="F8" s="364"/>
      <c r="G8" s="364"/>
      <c r="H8" s="365"/>
      <c r="I8" s="369"/>
      <c r="J8" s="369"/>
      <c r="K8" s="366"/>
      <c r="L8" s="367"/>
      <c r="M8" s="154" t="s">
        <v>116</v>
      </c>
      <c r="N8" s="155" t="s">
        <v>121</v>
      </c>
      <c r="O8" s="354"/>
      <c r="P8" s="353"/>
      <c r="Q8" s="353"/>
      <c r="R8" s="353"/>
      <c r="S8" s="353"/>
      <c r="T8" s="353"/>
      <c r="U8" s="353"/>
      <c r="V8" s="353"/>
      <c r="W8" s="350"/>
      <c r="X8" s="153"/>
      <c r="Y8" s="153"/>
      <c r="AI8" s="105" t="s">
        <v>109</v>
      </c>
      <c r="AJ8" s="174">
        <f>IF(初期条件設定表!C26="当月",'入力用 従事者別直接人件費集計表（前期）'!D8,'入力用 従事者別直接人件費集計表（前期）'!D9)</f>
        <v>3</v>
      </c>
    </row>
    <row r="9" spans="1:42" ht="45.9" customHeight="1">
      <c r="A9" s="107">
        <f>Y9</f>
        <v>46055</v>
      </c>
      <c r="B9" s="275">
        <v>0.375</v>
      </c>
      <c r="C9" s="276" t="s">
        <v>24</v>
      </c>
      <c r="D9" s="277">
        <v>0.75</v>
      </c>
      <c r="E9" s="87">
        <f>IFERROR(HOUR(Q9),"")</f>
        <v>8</v>
      </c>
      <c r="F9" s="88" t="s">
        <v>28</v>
      </c>
      <c r="G9" s="89">
        <f>IFERROR(MINUTE(Q9),"")</f>
        <v>0</v>
      </c>
      <c r="H9" s="135" t="s">
        <v>29</v>
      </c>
      <c r="I9" s="139">
        <f>T9</f>
        <v>4.166666666666663E-2</v>
      </c>
      <c r="J9" s="279"/>
      <c r="K9" s="90">
        <f>IFERROR((E9+G9/60)*$B$5,"")</f>
        <v>37280</v>
      </c>
      <c r="L9" s="156" t="s">
        <v>0</v>
      </c>
      <c r="M9" s="280" t="s">
        <v>187</v>
      </c>
      <c r="N9" s="281" t="s">
        <v>153</v>
      </c>
      <c r="O9" s="69">
        <f t="shared" ref="O9:O35" si="0">IF(OR(DBCS(B9)="：",B9="",DBCS(D9)="：",D9=""),"",$D9-$B9)</f>
        <v>0.375</v>
      </c>
      <c r="P9" s="69">
        <f t="shared" ref="P9:P35" si="1">IFERROR(IF(J9="",D9-B9-W9,D9-B9-J9-W9),"")</f>
        <v>0.33333333333333337</v>
      </c>
      <c r="Q9" s="70">
        <f t="shared" ref="Q9:Q11" si="2">IFERROR(MIN(IF(P9&gt;0,FLOOR(P9,"0:30"),""),$AJ$6),"")</f>
        <v>0.33333333333333331</v>
      </c>
      <c r="R9" s="71">
        <f t="shared" ref="R9:R35" si="3">IF(OR(DBCS($B9)="：",$B9="",DBCS($D9)="：",$D9=""),"",MAX(MIN($D9,AF$1)-MAX($B9,TIME(0,0,0)),0))</f>
        <v>0</v>
      </c>
      <c r="S9" s="71">
        <f t="shared" ref="S9:S35" si="4">IF(OR(DBCS($B9)="：",$B9="",DBCS($D9)="：",$D9=""),"",MAX(MIN($D9,AG$2)-MAX($B9,$AF$2),0))</f>
        <v>0</v>
      </c>
      <c r="T9" s="71">
        <f t="shared" ref="T9:T35" si="5">IF(OR(DBCS($B9)="：",$B9="",DBCS($D9)="：",$D9=""),"",MAX(MIN($D9,$AG$3)-MAX($B9,$AF$3),0))</f>
        <v>4.166666666666663E-2</v>
      </c>
      <c r="U9" s="71">
        <f t="shared" ref="U9:U35" si="6">IF(OR(DBCS($B9)="：",$B9="",DBCS($D9)="：",$D9=""),"",MAX(MIN($D9,$AG$4)-MAX($B9,$AF$4),0))</f>
        <v>0</v>
      </c>
      <c r="V9" s="71">
        <f t="shared" ref="V9:V35" si="7">IF(OR(DBCS($B9)="：",$B9="",DBCS($D9)="：",$D9=""),"",MAX(MIN($D9,TIME(23,59,59))-MAX($B9,$AG$1),0))</f>
        <v>0</v>
      </c>
      <c r="W9" s="71">
        <f>IF(OR(DBCS($B9)="：",$B9="",DBCS($D9)="：",$D9=""),"",SUM(R9:V9))</f>
        <v>4.166666666666663E-2</v>
      </c>
      <c r="X9" s="56"/>
      <c r="Y9" s="85">
        <f>IF($AJ$3="","",IF(FIND(TEXT($AJ$3,"aaa"),$AN$5)&gt;$AN$4,$AJ$3,IF(FIND(TEXT($AJ$3+1,"aaa"),$AN$5)&gt;$AN$4,$AJ$3+1,IF(FIND(TEXT($AJ$3+2,"aaa"),$AN$5)&gt;$AN$4,$AJ$3+2,IF(FIND(TEXT($AJ$3+3,"aaa"),$AN$5)&gt;$AN$4,$AJ$3+3,"")))))</f>
        <v>46055</v>
      </c>
      <c r="AA9" s="42"/>
    </row>
    <row r="10" spans="1:42" ht="45.9" customHeight="1">
      <c r="A10" s="107">
        <f t="shared" ref="A10:A35" si="8">Y10</f>
        <v>46056</v>
      </c>
      <c r="B10" s="275">
        <v>0.54166666666666663</v>
      </c>
      <c r="C10" s="276" t="s">
        <v>24</v>
      </c>
      <c r="D10" s="277">
        <v>0.75</v>
      </c>
      <c r="E10" s="87">
        <f>IFERROR(HOUR(Q10),"")</f>
        <v>5</v>
      </c>
      <c r="F10" s="88" t="s">
        <v>28</v>
      </c>
      <c r="G10" s="89">
        <f>IFERROR(MINUTE(Q10),"")</f>
        <v>0</v>
      </c>
      <c r="H10" s="135" t="s">
        <v>29</v>
      </c>
      <c r="I10" s="137">
        <f t="shared" ref="I10:I35" si="9">T10</f>
        <v>0</v>
      </c>
      <c r="J10" s="279"/>
      <c r="K10" s="90">
        <f t="shared" ref="K10:K35" si="10">IFERROR((E10+G10/60)*$B$5,"")</f>
        <v>23300</v>
      </c>
      <c r="L10" s="156" t="s">
        <v>0</v>
      </c>
      <c r="M10" s="282" t="s">
        <v>187</v>
      </c>
      <c r="N10" s="283" t="s">
        <v>153</v>
      </c>
      <c r="O10" s="69">
        <f t="shared" si="0"/>
        <v>0.20833333333333337</v>
      </c>
      <c r="P10" s="69">
        <f t="shared" si="1"/>
        <v>0.20833333333333337</v>
      </c>
      <c r="Q10" s="70">
        <f t="shared" si="2"/>
        <v>0.20833333333333331</v>
      </c>
      <c r="R10" s="71">
        <f t="shared" si="3"/>
        <v>0</v>
      </c>
      <c r="S10" s="71">
        <f t="shared" si="4"/>
        <v>0</v>
      </c>
      <c r="T10" s="71">
        <f t="shared" si="5"/>
        <v>0</v>
      </c>
      <c r="U10" s="71">
        <f t="shared" si="6"/>
        <v>0</v>
      </c>
      <c r="V10" s="71">
        <f t="shared" si="7"/>
        <v>0</v>
      </c>
      <c r="W10" s="71">
        <f t="shared" ref="W10:W33" si="11">IF(OR(DBCS($B10)="：",$B10="",DBCS($D10)="：",$D10=""),"",SUM(R10:V10))</f>
        <v>0</v>
      </c>
      <c r="X10" s="56"/>
      <c r="Y10" s="85">
        <f t="shared" ref="Y10:Y35" si="12">IF($A9="","",IF(AND($A9+1&lt;=$AJ$4,FIND(TEXT($A9+1,"aaa"),$AN$5)&gt;$AN$4),$A9+1,IF(AND($A9+2&lt;=$AJ$4,FIND(TEXT($A9+2,"aaa"),$AN$5)&gt;$AN$4),$A9+2,IF(AND($A9+3&lt;=$AJ$4,FIND(TEXT($A9+3,"aaa"),$AN$5)&gt;$AN$4),$A9+3,IF(AND($A9+4&lt;=$AJ$4,FIND(TEXT($A9+4,"aaa"),$AN$5)&gt;$AN$4),$A9+4,"")))))</f>
        <v>46056</v>
      </c>
      <c r="AA10" s="42"/>
      <c r="AE10" s="161" t="s">
        <v>117</v>
      </c>
      <c r="AF10" s="161" t="s">
        <v>127</v>
      </c>
    </row>
    <row r="11" spans="1:42" ht="45.9" customHeight="1">
      <c r="A11" s="107">
        <f t="shared" si="8"/>
        <v>46057</v>
      </c>
      <c r="B11" s="275">
        <v>0.41666666666666669</v>
      </c>
      <c r="C11" s="276" t="s">
        <v>24</v>
      </c>
      <c r="D11" s="277">
        <v>0.5</v>
      </c>
      <c r="E11" s="87">
        <f>IFERROR(HOUR(Q11),"")</f>
        <v>2</v>
      </c>
      <c r="F11" s="88" t="s">
        <v>28</v>
      </c>
      <c r="G11" s="89">
        <f>IFERROR(MINUTE(Q11),"")</f>
        <v>0</v>
      </c>
      <c r="H11" s="135" t="s">
        <v>29</v>
      </c>
      <c r="I11" s="137">
        <f t="shared" si="9"/>
        <v>0</v>
      </c>
      <c r="J11" s="279"/>
      <c r="K11" s="90">
        <f t="shared" si="10"/>
        <v>9320</v>
      </c>
      <c r="L11" s="156" t="s">
        <v>0</v>
      </c>
      <c r="M11" s="282" t="s">
        <v>187</v>
      </c>
      <c r="N11" s="283" t="s">
        <v>153</v>
      </c>
      <c r="O11" s="69">
        <f t="shared" si="0"/>
        <v>8.3333333333333315E-2</v>
      </c>
      <c r="P11" s="69">
        <f t="shared" si="1"/>
        <v>8.3333333333333315E-2</v>
      </c>
      <c r="Q11" s="70">
        <f t="shared" si="2"/>
        <v>8.3333333333333329E-2</v>
      </c>
      <c r="R11" s="71">
        <f t="shared" si="3"/>
        <v>0</v>
      </c>
      <c r="S11" s="71">
        <f t="shared" si="4"/>
        <v>0</v>
      </c>
      <c r="T11" s="71">
        <f t="shared" si="5"/>
        <v>0</v>
      </c>
      <c r="U11" s="71">
        <f t="shared" si="6"/>
        <v>0</v>
      </c>
      <c r="V11" s="71">
        <f t="shared" si="7"/>
        <v>0</v>
      </c>
      <c r="W11" s="71">
        <f t="shared" si="11"/>
        <v>0</v>
      </c>
      <c r="X11" s="56"/>
      <c r="Y11" s="85">
        <f t="shared" si="12"/>
        <v>46057</v>
      </c>
      <c r="AA11" s="42"/>
      <c r="AD11" s="4">
        <v>1</v>
      </c>
      <c r="AE11" s="134" t="str">
        <f>初期条件設定表!U5</f>
        <v>　</v>
      </c>
      <c r="AF11" s="162" t="str">
        <f>初期条件設定表!V5</f>
        <v>　</v>
      </c>
    </row>
    <row r="12" spans="1:42" ht="45.9" customHeight="1">
      <c r="A12" s="107">
        <f t="shared" si="8"/>
        <v>46058</v>
      </c>
      <c r="B12" s="275">
        <v>0.375</v>
      </c>
      <c r="C12" s="276" t="s">
        <v>24</v>
      </c>
      <c r="D12" s="277">
        <v>0.75</v>
      </c>
      <c r="E12" s="87">
        <f>IFERROR(HOUR(Q12),"")</f>
        <v>7</v>
      </c>
      <c r="F12" s="88" t="s">
        <v>28</v>
      </c>
      <c r="G12" s="89">
        <f>IFERROR(MINUTE(Q12),"")</f>
        <v>0</v>
      </c>
      <c r="H12" s="135" t="s">
        <v>29</v>
      </c>
      <c r="I12" s="137">
        <f t="shared" si="9"/>
        <v>4.166666666666663E-2</v>
      </c>
      <c r="J12" s="279">
        <v>4.1666666666666664E-2</v>
      </c>
      <c r="K12" s="90">
        <f t="shared" si="10"/>
        <v>32620</v>
      </c>
      <c r="L12" s="156" t="s">
        <v>0</v>
      </c>
      <c r="M12" s="282" t="s">
        <v>187</v>
      </c>
      <c r="N12" s="283" t="s">
        <v>153</v>
      </c>
      <c r="O12" s="69">
        <f t="shared" si="0"/>
        <v>0.375</v>
      </c>
      <c r="P12" s="69">
        <f t="shared" si="1"/>
        <v>0.29166666666666669</v>
      </c>
      <c r="Q12" s="70">
        <f>IFERROR(MIN(IF(P12&gt;0,FLOOR(P12,"0:30"),""),$AJ$6),"")</f>
        <v>0.29166666666666663</v>
      </c>
      <c r="R12" s="71">
        <f t="shared" si="3"/>
        <v>0</v>
      </c>
      <c r="S12" s="71">
        <f t="shared" si="4"/>
        <v>0</v>
      </c>
      <c r="T12" s="71">
        <f t="shared" si="5"/>
        <v>4.166666666666663E-2</v>
      </c>
      <c r="U12" s="71">
        <f t="shared" si="6"/>
        <v>0</v>
      </c>
      <c r="V12" s="71">
        <f t="shared" si="7"/>
        <v>0</v>
      </c>
      <c r="W12" s="71">
        <f t="shared" si="11"/>
        <v>4.166666666666663E-2</v>
      </c>
      <c r="X12" s="56"/>
      <c r="Y12" s="85">
        <f t="shared" si="12"/>
        <v>46058</v>
      </c>
      <c r="AA12" s="42"/>
      <c r="AD12" s="4">
        <v>2</v>
      </c>
      <c r="AE12" s="134" t="str">
        <f>初期条件設定表!U6</f>
        <v>設計</v>
      </c>
      <c r="AF12" s="163" t="str">
        <f>初期条件設定表!V6</f>
        <v>要件定義</v>
      </c>
    </row>
    <row r="13" spans="1:42" ht="45.9" customHeight="1">
      <c r="A13" s="107">
        <f t="shared" si="8"/>
        <v>46059</v>
      </c>
      <c r="B13" s="275">
        <v>0.70833333333333337</v>
      </c>
      <c r="C13" s="276" t="s">
        <v>24</v>
      </c>
      <c r="D13" s="277">
        <v>0.75</v>
      </c>
      <c r="E13" s="87">
        <f>IFERROR(HOUR(Q13),"")</f>
        <v>1</v>
      </c>
      <c r="F13" s="88" t="s">
        <v>28</v>
      </c>
      <c r="G13" s="89">
        <f>IFERROR(MINUTE(Q13),"")</f>
        <v>0</v>
      </c>
      <c r="H13" s="135" t="s">
        <v>29</v>
      </c>
      <c r="I13" s="137">
        <f t="shared" si="9"/>
        <v>0</v>
      </c>
      <c r="J13" s="279"/>
      <c r="K13" s="90">
        <f t="shared" si="10"/>
        <v>4660</v>
      </c>
      <c r="L13" s="156" t="s">
        <v>0</v>
      </c>
      <c r="M13" s="282" t="s">
        <v>187</v>
      </c>
      <c r="N13" s="283" t="s">
        <v>153</v>
      </c>
      <c r="O13" s="69">
        <f t="shared" si="0"/>
        <v>4.166666666666663E-2</v>
      </c>
      <c r="P13" s="69">
        <f t="shared" si="1"/>
        <v>4.166666666666663E-2</v>
      </c>
      <c r="Q13" s="70">
        <f>IFERROR(MIN(IF(P13&gt;0,FLOOR(P13,"0:30"),""),$AJ$6),"")</f>
        <v>4.1666666666666664E-2</v>
      </c>
      <c r="R13" s="71">
        <f t="shared" si="3"/>
        <v>0</v>
      </c>
      <c r="S13" s="71">
        <f t="shared" si="4"/>
        <v>0</v>
      </c>
      <c r="T13" s="71">
        <f t="shared" si="5"/>
        <v>0</v>
      </c>
      <c r="U13" s="71">
        <f t="shared" si="6"/>
        <v>0</v>
      </c>
      <c r="V13" s="71">
        <f t="shared" si="7"/>
        <v>0</v>
      </c>
      <c r="W13" s="71">
        <f t="shared" si="11"/>
        <v>0</v>
      </c>
      <c r="X13" s="71">
        <f t="shared" ref="X13:X35" si="13">IF(OR(DBCS($B13)="：",$B13="",DBCS($D13)="：",$D13=""),"",MAX(MIN($D13,$AG$3)-MAX($B13,$AF$3),0))</f>
        <v>0</v>
      </c>
      <c r="Y13" s="85">
        <f t="shared" si="12"/>
        <v>46059</v>
      </c>
      <c r="Z13" s="41">
        <f t="shared" ref="Z13:Z33" si="14">IF(OR(DBCS($B13)="：",$B13="",DBCS($D13)="：",$D13=""),"",MAX(MIN($D13,TIME(23,59,59))-MAX($B13,$AG$1),0))</f>
        <v>0</v>
      </c>
      <c r="AA13" s="42"/>
      <c r="AD13" s="4">
        <v>3</v>
      </c>
      <c r="AE13" s="134" t="str">
        <f>初期条件設定表!U7</f>
        <v>要件定義</v>
      </c>
      <c r="AF13" s="163" t="str">
        <f>初期条件設定表!V7</f>
        <v>運用テスト</v>
      </c>
    </row>
    <row r="14" spans="1:42" ht="45.9" customHeight="1">
      <c r="A14" s="107">
        <f t="shared" si="8"/>
        <v>46062</v>
      </c>
      <c r="B14" s="275">
        <v>0.6875</v>
      </c>
      <c r="C14" s="276" t="s">
        <v>24</v>
      </c>
      <c r="D14" s="277">
        <v>0.75</v>
      </c>
      <c r="E14" s="87">
        <f t="shared" ref="E14:E35" si="15">IFERROR(HOUR(Q14),"")</f>
        <v>1</v>
      </c>
      <c r="F14" s="88" t="s">
        <v>28</v>
      </c>
      <c r="G14" s="89">
        <f t="shared" ref="G14:G35" si="16">IFERROR(MINUTE(Q14),"")</f>
        <v>0</v>
      </c>
      <c r="H14" s="135" t="s">
        <v>29</v>
      </c>
      <c r="I14" s="137">
        <f t="shared" si="9"/>
        <v>0</v>
      </c>
      <c r="J14" s="279">
        <v>2.0833333333333332E-2</v>
      </c>
      <c r="K14" s="90">
        <f t="shared" si="10"/>
        <v>4660</v>
      </c>
      <c r="L14" s="156" t="s">
        <v>0</v>
      </c>
      <c r="M14" s="282" t="s">
        <v>187</v>
      </c>
      <c r="N14" s="283" t="s">
        <v>153</v>
      </c>
      <c r="O14" s="69">
        <f t="shared" si="0"/>
        <v>6.25E-2</v>
      </c>
      <c r="P14" s="69">
        <f t="shared" si="1"/>
        <v>4.1666666666666671E-2</v>
      </c>
      <c r="Q14" s="70">
        <f t="shared" ref="Q14:Q35" si="17">IFERROR(MIN(IF(P14&gt;0,FLOOR(P14,"0:30"),""),$AJ$6),"")</f>
        <v>4.1666666666666664E-2</v>
      </c>
      <c r="R14" s="71">
        <f t="shared" si="3"/>
        <v>0</v>
      </c>
      <c r="S14" s="71">
        <f t="shared" si="4"/>
        <v>0</v>
      </c>
      <c r="T14" s="71">
        <f t="shared" si="5"/>
        <v>0</v>
      </c>
      <c r="U14" s="71">
        <f t="shared" si="6"/>
        <v>0</v>
      </c>
      <c r="V14" s="71">
        <f t="shared" si="7"/>
        <v>0</v>
      </c>
      <c r="W14" s="71">
        <f t="shared" si="11"/>
        <v>0</v>
      </c>
      <c r="X14" s="71">
        <f t="shared" si="13"/>
        <v>0</v>
      </c>
      <c r="Y14" s="85">
        <f t="shared" si="12"/>
        <v>46062</v>
      </c>
      <c r="Z14" s="41">
        <f t="shared" si="14"/>
        <v>0</v>
      </c>
      <c r="AA14" s="42"/>
      <c r="AD14" s="4">
        <v>4</v>
      </c>
      <c r="AE14" s="134" t="str">
        <f>初期条件設定表!U8</f>
        <v>目標仕様</v>
      </c>
      <c r="AF14" s="163" t="str">
        <f>初期条件設定表!V8</f>
        <v>システム要件定義</v>
      </c>
    </row>
    <row r="15" spans="1:42" ht="45.9" customHeight="1">
      <c r="A15" s="107">
        <f t="shared" si="8"/>
        <v>46063</v>
      </c>
      <c r="B15" s="98" t="s">
        <v>60</v>
      </c>
      <c r="C15" s="278" t="s">
        <v>24</v>
      </c>
      <c r="D15" s="101" t="s">
        <v>60</v>
      </c>
      <c r="E15" s="87" t="str">
        <f t="shared" si="15"/>
        <v/>
      </c>
      <c r="F15" s="88" t="s">
        <v>28</v>
      </c>
      <c r="G15" s="89" t="str">
        <f t="shared" si="16"/>
        <v/>
      </c>
      <c r="H15" s="135" t="s">
        <v>29</v>
      </c>
      <c r="I15" s="137" t="str">
        <f t="shared" si="9"/>
        <v/>
      </c>
      <c r="J15" s="279"/>
      <c r="K15" s="90" t="str">
        <f t="shared" si="10"/>
        <v/>
      </c>
      <c r="L15" s="156" t="s">
        <v>0</v>
      </c>
      <c r="M15" s="159"/>
      <c r="N15" s="160"/>
      <c r="O15" s="69" t="str">
        <f t="shared" si="0"/>
        <v/>
      </c>
      <c r="P15" s="69" t="str">
        <f t="shared" si="1"/>
        <v/>
      </c>
      <c r="Q15" s="70" t="str">
        <f t="shared" si="17"/>
        <v/>
      </c>
      <c r="R15" s="71" t="str">
        <f t="shared" si="3"/>
        <v/>
      </c>
      <c r="S15" s="71" t="str">
        <f t="shared" si="4"/>
        <v/>
      </c>
      <c r="T15" s="71" t="str">
        <f t="shared" si="5"/>
        <v/>
      </c>
      <c r="U15" s="71" t="str">
        <f t="shared" si="6"/>
        <v/>
      </c>
      <c r="V15" s="71" t="str">
        <f t="shared" si="7"/>
        <v/>
      </c>
      <c r="W15" s="71" t="str">
        <f t="shared" si="11"/>
        <v/>
      </c>
      <c r="X15" s="71" t="str">
        <f t="shared" si="13"/>
        <v/>
      </c>
      <c r="Y15" s="85">
        <f t="shared" si="12"/>
        <v>46063</v>
      </c>
      <c r="Z15" s="41" t="str">
        <f t="shared" si="14"/>
        <v/>
      </c>
      <c r="AA15" s="42"/>
      <c r="AD15" s="4">
        <v>5</v>
      </c>
      <c r="AE15" s="134" t="str">
        <f>初期条件設定表!U9</f>
        <v>プログラミング</v>
      </c>
      <c r="AF15" s="163" t="str">
        <f>初期条件設定表!V9</f>
        <v>システムテスト</v>
      </c>
    </row>
    <row r="16" spans="1:42" ht="45.9" customHeight="1">
      <c r="A16" s="107">
        <f t="shared" si="8"/>
        <v>46064</v>
      </c>
      <c r="B16" s="98" t="s">
        <v>60</v>
      </c>
      <c r="C16" s="278" t="s">
        <v>24</v>
      </c>
      <c r="D16" s="101" t="s">
        <v>60</v>
      </c>
      <c r="E16" s="87" t="str">
        <f t="shared" si="15"/>
        <v/>
      </c>
      <c r="F16" s="88" t="s">
        <v>28</v>
      </c>
      <c r="G16" s="89" t="str">
        <f t="shared" si="16"/>
        <v/>
      </c>
      <c r="H16" s="135" t="s">
        <v>29</v>
      </c>
      <c r="I16" s="137" t="str">
        <f t="shared" si="9"/>
        <v/>
      </c>
      <c r="J16" s="279"/>
      <c r="K16" s="90" t="str">
        <f t="shared" si="10"/>
        <v/>
      </c>
      <c r="L16" s="156" t="s">
        <v>0</v>
      </c>
      <c r="M16" s="159"/>
      <c r="N16" s="160"/>
      <c r="O16" s="69" t="str">
        <f t="shared" si="0"/>
        <v/>
      </c>
      <c r="P16" s="69" t="str">
        <f t="shared" si="1"/>
        <v/>
      </c>
      <c r="Q16" s="70" t="str">
        <f t="shared" si="17"/>
        <v/>
      </c>
      <c r="R16" s="71" t="str">
        <f t="shared" si="3"/>
        <v/>
      </c>
      <c r="S16" s="71" t="str">
        <f t="shared" si="4"/>
        <v/>
      </c>
      <c r="T16" s="71" t="str">
        <f t="shared" si="5"/>
        <v/>
      </c>
      <c r="U16" s="71" t="str">
        <f t="shared" si="6"/>
        <v/>
      </c>
      <c r="V16" s="71" t="str">
        <f t="shared" si="7"/>
        <v/>
      </c>
      <c r="W16" s="71" t="str">
        <f t="shared" si="11"/>
        <v/>
      </c>
      <c r="X16" s="71" t="str">
        <f t="shared" si="13"/>
        <v/>
      </c>
      <c r="Y16" s="85">
        <f t="shared" si="12"/>
        <v>46064</v>
      </c>
      <c r="Z16" s="41" t="str">
        <f t="shared" si="14"/>
        <v/>
      </c>
      <c r="AA16" s="42"/>
      <c r="AD16" s="4">
        <v>6</v>
      </c>
      <c r="AE16" s="134" t="str">
        <f>初期条件設定表!U10</f>
        <v>試作</v>
      </c>
      <c r="AF16" s="163" t="str">
        <f>初期条件設定表!V10</f>
        <v>システム方式設計</v>
      </c>
    </row>
    <row r="17" spans="1:32" ht="45.9" customHeight="1">
      <c r="A17" s="107">
        <f t="shared" si="8"/>
        <v>46065</v>
      </c>
      <c r="B17" s="275">
        <v>0.625</v>
      </c>
      <c r="C17" s="276" t="s">
        <v>24</v>
      </c>
      <c r="D17" s="277">
        <v>0.72916666666666663</v>
      </c>
      <c r="E17" s="87">
        <f t="shared" si="15"/>
        <v>2</v>
      </c>
      <c r="F17" s="88" t="s">
        <v>28</v>
      </c>
      <c r="G17" s="89">
        <f t="shared" si="16"/>
        <v>30</v>
      </c>
      <c r="H17" s="135" t="s">
        <v>29</v>
      </c>
      <c r="I17" s="137">
        <f t="shared" si="9"/>
        <v>0</v>
      </c>
      <c r="J17" s="279"/>
      <c r="K17" s="90">
        <f t="shared" si="10"/>
        <v>11650</v>
      </c>
      <c r="L17" s="156" t="s">
        <v>0</v>
      </c>
      <c r="M17" s="282" t="s">
        <v>187</v>
      </c>
      <c r="N17" s="283" t="s">
        <v>153</v>
      </c>
      <c r="O17" s="69">
        <f t="shared" si="0"/>
        <v>0.10416666666666663</v>
      </c>
      <c r="P17" s="69">
        <f t="shared" si="1"/>
        <v>0.10416666666666663</v>
      </c>
      <c r="Q17" s="70">
        <f t="shared" si="17"/>
        <v>0.10416666666666666</v>
      </c>
      <c r="R17" s="71">
        <f t="shared" si="3"/>
        <v>0</v>
      </c>
      <c r="S17" s="71">
        <f t="shared" si="4"/>
        <v>0</v>
      </c>
      <c r="T17" s="71">
        <f t="shared" si="5"/>
        <v>0</v>
      </c>
      <c r="U17" s="71">
        <f t="shared" si="6"/>
        <v>0</v>
      </c>
      <c r="V17" s="71">
        <f t="shared" si="7"/>
        <v>0</v>
      </c>
      <c r="W17" s="71">
        <f t="shared" si="11"/>
        <v>0</v>
      </c>
      <c r="X17" s="71">
        <f t="shared" si="13"/>
        <v>0</v>
      </c>
      <c r="Y17" s="85">
        <f t="shared" si="12"/>
        <v>46065</v>
      </c>
      <c r="Z17" s="41">
        <f t="shared" si="14"/>
        <v>0</v>
      </c>
      <c r="AA17" s="42"/>
      <c r="AD17" s="4">
        <v>7</v>
      </c>
      <c r="AE17" s="134" t="str">
        <f>初期条件設定表!U11</f>
        <v>単体テスト</v>
      </c>
      <c r="AF17" s="163" t="str">
        <f>初期条件設定表!V11</f>
        <v>システム結合</v>
      </c>
    </row>
    <row r="18" spans="1:32" ht="45.9" customHeight="1">
      <c r="A18" s="107">
        <f t="shared" si="8"/>
        <v>46066</v>
      </c>
      <c r="B18" s="275">
        <v>0.625</v>
      </c>
      <c r="C18" s="276" t="s">
        <v>24</v>
      </c>
      <c r="D18" s="277">
        <v>0.72916666666666663</v>
      </c>
      <c r="E18" s="87">
        <f t="shared" si="15"/>
        <v>2</v>
      </c>
      <c r="F18" s="88" t="s">
        <v>28</v>
      </c>
      <c r="G18" s="89">
        <f t="shared" si="16"/>
        <v>30</v>
      </c>
      <c r="H18" s="135" t="s">
        <v>29</v>
      </c>
      <c r="I18" s="137">
        <f t="shared" si="9"/>
        <v>0</v>
      </c>
      <c r="J18" s="279"/>
      <c r="K18" s="90">
        <f t="shared" si="10"/>
        <v>11650</v>
      </c>
      <c r="L18" s="156" t="s">
        <v>0</v>
      </c>
      <c r="M18" s="282" t="s">
        <v>187</v>
      </c>
      <c r="N18" s="283" t="s">
        <v>153</v>
      </c>
      <c r="O18" s="69">
        <f t="shared" si="0"/>
        <v>0.10416666666666663</v>
      </c>
      <c r="P18" s="69">
        <f t="shared" si="1"/>
        <v>0.10416666666666663</v>
      </c>
      <c r="Q18" s="70">
        <f t="shared" si="17"/>
        <v>0.10416666666666666</v>
      </c>
      <c r="R18" s="71">
        <f t="shared" si="3"/>
        <v>0</v>
      </c>
      <c r="S18" s="71">
        <f t="shared" si="4"/>
        <v>0</v>
      </c>
      <c r="T18" s="71">
        <f t="shared" si="5"/>
        <v>0</v>
      </c>
      <c r="U18" s="71">
        <f t="shared" si="6"/>
        <v>0</v>
      </c>
      <c r="V18" s="71">
        <f t="shared" si="7"/>
        <v>0</v>
      </c>
      <c r="W18" s="71">
        <f t="shared" si="11"/>
        <v>0</v>
      </c>
      <c r="X18" s="71">
        <f t="shared" si="13"/>
        <v>0</v>
      </c>
      <c r="Y18" s="85">
        <f t="shared" si="12"/>
        <v>46066</v>
      </c>
      <c r="Z18" s="41">
        <f t="shared" si="14"/>
        <v>0</v>
      </c>
      <c r="AA18" s="42"/>
      <c r="AD18" s="4">
        <v>8</v>
      </c>
      <c r="AE18" s="134" t="str">
        <f>初期条件設定表!U12</f>
        <v>総合テスト</v>
      </c>
      <c r="AF18" s="163" t="str">
        <f>初期条件設定表!V12</f>
        <v>ソフトウェア設計</v>
      </c>
    </row>
    <row r="19" spans="1:32" ht="45.9" customHeight="1">
      <c r="A19" s="107">
        <f t="shared" si="8"/>
        <v>46069</v>
      </c>
      <c r="B19" s="275">
        <v>0.625</v>
      </c>
      <c r="C19" s="276" t="s">
        <v>24</v>
      </c>
      <c r="D19" s="277">
        <v>0.72916666666666663</v>
      </c>
      <c r="E19" s="87">
        <f t="shared" si="15"/>
        <v>2</v>
      </c>
      <c r="F19" s="88" t="s">
        <v>28</v>
      </c>
      <c r="G19" s="89">
        <f t="shared" si="16"/>
        <v>30</v>
      </c>
      <c r="H19" s="135" t="s">
        <v>29</v>
      </c>
      <c r="I19" s="137">
        <f t="shared" si="9"/>
        <v>0</v>
      </c>
      <c r="J19" s="279"/>
      <c r="K19" s="90">
        <f t="shared" si="10"/>
        <v>11650</v>
      </c>
      <c r="L19" s="156" t="s">
        <v>0</v>
      </c>
      <c r="M19" s="282" t="s">
        <v>187</v>
      </c>
      <c r="N19" s="283" t="s">
        <v>153</v>
      </c>
      <c r="O19" s="69">
        <f t="shared" si="0"/>
        <v>0.10416666666666663</v>
      </c>
      <c r="P19" s="69">
        <f t="shared" si="1"/>
        <v>0.10416666666666663</v>
      </c>
      <c r="Q19" s="70">
        <f t="shared" si="17"/>
        <v>0.10416666666666666</v>
      </c>
      <c r="R19" s="71">
        <f t="shared" si="3"/>
        <v>0</v>
      </c>
      <c r="S19" s="71">
        <f t="shared" si="4"/>
        <v>0</v>
      </c>
      <c r="T19" s="71">
        <f t="shared" si="5"/>
        <v>0</v>
      </c>
      <c r="U19" s="71">
        <f t="shared" si="6"/>
        <v>0</v>
      </c>
      <c r="V19" s="71">
        <f t="shared" si="7"/>
        <v>0</v>
      </c>
      <c r="W19" s="71">
        <f t="shared" si="11"/>
        <v>0</v>
      </c>
      <c r="X19" s="71">
        <f t="shared" si="13"/>
        <v>0</v>
      </c>
      <c r="Y19" s="85">
        <f t="shared" si="12"/>
        <v>46069</v>
      </c>
      <c r="Z19" s="41">
        <f t="shared" si="14"/>
        <v>0</v>
      </c>
      <c r="AA19" s="42"/>
      <c r="AD19" s="4">
        <v>9</v>
      </c>
      <c r="AE19" s="134" t="str">
        <f>初期条件設定表!U13</f>
        <v xml:space="preserve"> </v>
      </c>
      <c r="AF19" s="163" t="str">
        <f>初期条件設定表!V13</f>
        <v>ソフトウェアテスト</v>
      </c>
    </row>
    <row r="20" spans="1:32" ht="45.9" customHeight="1">
      <c r="A20" s="107">
        <f t="shared" si="8"/>
        <v>46070</v>
      </c>
      <c r="B20" s="98" t="s">
        <v>30</v>
      </c>
      <c r="C20" s="278" t="s">
        <v>3</v>
      </c>
      <c r="D20" s="101" t="s">
        <v>30</v>
      </c>
      <c r="E20" s="87" t="str">
        <f t="shared" si="15"/>
        <v/>
      </c>
      <c r="F20" s="88" t="s">
        <v>28</v>
      </c>
      <c r="G20" s="89" t="str">
        <f t="shared" si="16"/>
        <v/>
      </c>
      <c r="H20" s="135" t="s">
        <v>29</v>
      </c>
      <c r="I20" s="137" t="str">
        <f t="shared" si="9"/>
        <v/>
      </c>
      <c r="J20" s="140"/>
      <c r="K20" s="90" t="str">
        <f t="shared" si="10"/>
        <v/>
      </c>
      <c r="L20" s="156" t="s">
        <v>0</v>
      </c>
      <c r="M20" s="282"/>
      <c r="N20" s="283"/>
      <c r="O20" s="69" t="str">
        <f t="shared" si="0"/>
        <v/>
      </c>
      <c r="P20" s="69" t="str">
        <f t="shared" si="1"/>
        <v/>
      </c>
      <c r="Q20" s="70" t="str">
        <f t="shared" si="17"/>
        <v/>
      </c>
      <c r="R20" s="71" t="str">
        <f t="shared" si="3"/>
        <v/>
      </c>
      <c r="S20" s="71" t="str">
        <f t="shared" si="4"/>
        <v/>
      </c>
      <c r="T20" s="71" t="str">
        <f t="shared" si="5"/>
        <v/>
      </c>
      <c r="U20" s="71" t="str">
        <f t="shared" si="6"/>
        <v/>
      </c>
      <c r="V20" s="71" t="str">
        <f t="shared" si="7"/>
        <v/>
      </c>
      <c r="W20" s="71" t="str">
        <f t="shared" si="11"/>
        <v/>
      </c>
      <c r="X20" s="71" t="str">
        <f t="shared" si="13"/>
        <v/>
      </c>
      <c r="Y20" s="85">
        <f t="shared" si="12"/>
        <v>46070</v>
      </c>
      <c r="Z20" s="41" t="str">
        <f t="shared" si="14"/>
        <v/>
      </c>
      <c r="AA20" s="42"/>
      <c r="AD20" s="4">
        <v>10</v>
      </c>
      <c r="AE20" s="134" t="str">
        <f>初期条件設定表!U14</f>
        <v xml:space="preserve"> </v>
      </c>
      <c r="AF20" s="163" t="str">
        <f>初期条件設定表!V14</f>
        <v>プログラミング</v>
      </c>
    </row>
    <row r="21" spans="1:32" ht="45.9" customHeight="1">
      <c r="A21" s="107">
        <f t="shared" si="8"/>
        <v>46071</v>
      </c>
      <c r="B21" s="275">
        <v>0.375</v>
      </c>
      <c r="C21" s="276" t="s">
        <v>24</v>
      </c>
      <c r="D21" s="277">
        <v>0.75</v>
      </c>
      <c r="E21" s="87">
        <f t="shared" si="15"/>
        <v>6</v>
      </c>
      <c r="F21" s="88" t="s">
        <v>28</v>
      </c>
      <c r="G21" s="89">
        <f t="shared" si="16"/>
        <v>0</v>
      </c>
      <c r="H21" s="135" t="s">
        <v>29</v>
      </c>
      <c r="I21" s="137">
        <f t="shared" si="9"/>
        <v>4.166666666666663E-2</v>
      </c>
      <c r="J21" s="279">
        <v>8.3333333333333329E-2</v>
      </c>
      <c r="K21" s="90">
        <f t="shared" si="10"/>
        <v>27960</v>
      </c>
      <c r="L21" s="156" t="s">
        <v>0</v>
      </c>
      <c r="M21" s="282" t="s">
        <v>187</v>
      </c>
      <c r="N21" s="283" t="s">
        <v>153</v>
      </c>
      <c r="O21" s="69">
        <f t="shared" si="0"/>
        <v>0.375</v>
      </c>
      <c r="P21" s="69">
        <f t="shared" si="1"/>
        <v>0.25000000000000006</v>
      </c>
      <c r="Q21" s="70">
        <f t="shared" si="17"/>
        <v>0.25</v>
      </c>
      <c r="R21" s="71">
        <f t="shared" si="3"/>
        <v>0</v>
      </c>
      <c r="S21" s="71">
        <f t="shared" si="4"/>
        <v>0</v>
      </c>
      <c r="T21" s="71">
        <f t="shared" si="5"/>
        <v>4.166666666666663E-2</v>
      </c>
      <c r="U21" s="71">
        <f t="shared" si="6"/>
        <v>0</v>
      </c>
      <c r="V21" s="71">
        <f t="shared" si="7"/>
        <v>0</v>
      </c>
      <c r="W21" s="71">
        <f t="shared" si="11"/>
        <v>4.166666666666663E-2</v>
      </c>
      <c r="X21" s="71">
        <f t="shared" si="13"/>
        <v>4.166666666666663E-2</v>
      </c>
      <c r="Y21" s="85">
        <f t="shared" si="12"/>
        <v>46071</v>
      </c>
      <c r="Z21" s="41">
        <f t="shared" si="14"/>
        <v>0</v>
      </c>
      <c r="AA21" s="42"/>
      <c r="AD21" s="4">
        <v>11</v>
      </c>
      <c r="AE21" s="134" t="str">
        <f>初期条件設定表!U15</f>
        <v xml:space="preserve"> </v>
      </c>
      <c r="AF21" s="163" t="str">
        <f>初期条件設定表!V15</f>
        <v>デバッグ</v>
      </c>
    </row>
    <row r="22" spans="1:32" ht="45.9" customHeight="1">
      <c r="A22" s="107">
        <f t="shared" si="8"/>
        <v>46072</v>
      </c>
      <c r="B22" s="98" t="s">
        <v>30</v>
      </c>
      <c r="C22" s="212"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17"/>
        <v/>
      </c>
      <c r="R22" s="71" t="str">
        <f t="shared" si="3"/>
        <v/>
      </c>
      <c r="S22" s="71" t="str">
        <f t="shared" si="4"/>
        <v/>
      </c>
      <c r="T22" s="71" t="str">
        <f t="shared" si="5"/>
        <v/>
      </c>
      <c r="U22" s="71" t="str">
        <f t="shared" si="6"/>
        <v/>
      </c>
      <c r="V22" s="71" t="str">
        <f t="shared" si="7"/>
        <v/>
      </c>
      <c r="W22" s="71" t="str">
        <f t="shared" si="11"/>
        <v/>
      </c>
      <c r="X22" s="71" t="str">
        <f t="shared" si="13"/>
        <v/>
      </c>
      <c r="Y22" s="85">
        <f t="shared" si="12"/>
        <v>46072</v>
      </c>
      <c r="Z22" s="41" t="str">
        <f t="shared" si="14"/>
        <v/>
      </c>
      <c r="AA22" s="42"/>
      <c r="AD22" s="4">
        <v>12</v>
      </c>
      <c r="AE22" s="134" t="str">
        <f>初期条件設定表!U16</f>
        <v xml:space="preserve"> </v>
      </c>
      <c r="AF22" s="163" t="str">
        <f>初期条件設定表!V16</f>
        <v>要求仕様書作成</v>
      </c>
    </row>
    <row r="23" spans="1:32" ht="45.9" customHeight="1">
      <c r="A23" s="107">
        <f t="shared" si="8"/>
        <v>46073</v>
      </c>
      <c r="B23" s="98" t="s">
        <v>30</v>
      </c>
      <c r="C23" s="212"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17"/>
        <v/>
      </c>
      <c r="R23" s="71" t="str">
        <f t="shared" si="3"/>
        <v/>
      </c>
      <c r="S23" s="71" t="str">
        <f t="shared" si="4"/>
        <v/>
      </c>
      <c r="T23" s="71" t="str">
        <f t="shared" si="5"/>
        <v/>
      </c>
      <c r="U23" s="71" t="str">
        <f t="shared" si="6"/>
        <v/>
      </c>
      <c r="V23" s="71" t="str">
        <f t="shared" si="7"/>
        <v/>
      </c>
      <c r="W23" s="71" t="str">
        <f t="shared" si="11"/>
        <v/>
      </c>
      <c r="X23" s="71" t="str">
        <f t="shared" si="13"/>
        <v/>
      </c>
      <c r="Y23" s="85">
        <f t="shared" si="12"/>
        <v>46073</v>
      </c>
      <c r="Z23" s="41" t="str">
        <f t="shared" si="14"/>
        <v/>
      </c>
      <c r="AA23" s="42"/>
      <c r="AD23" s="4">
        <v>13</v>
      </c>
      <c r="AE23" s="134" t="str">
        <f>初期条件設定表!U17</f>
        <v xml:space="preserve"> </v>
      </c>
      <c r="AF23" s="163" t="str">
        <f>初期条件設定表!V17</f>
        <v>製図</v>
      </c>
    </row>
    <row r="24" spans="1:32" ht="45.9" customHeight="1">
      <c r="A24" s="107">
        <f t="shared" si="8"/>
        <v>46076</v>
      </c>
      <c r="B24" s="98" t="s">
        <v>30</v>
      </c>
      <c r="C24" s="212"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17"/>
        <v/>
      </c>
      <c r="R24" s="71" t="str">
        <f t="shared" si="3"/>
        <v/>
      </c>
      <c r="S24" s="71" t="str">
        <f t="shared" si="4"/>
        <v/>
      </c>
      <c r="T24" s="71" t="str">
        <f t="shared" si="5"/>
        <v/>
      </c>
      <c r="U24" s="71" t="str">
        <f t="shared" si="6"/>
        <v/>
      </c>
      <c r="V24" s="71" t="str">
        <f t="shared" si="7"/>
        <v/>
      </c>
      <c r="W24" s="71" t="str">
        <f t="shared" si="11"/>
        <v/>
      </c>
      <c r="X24" s="71" t="str">
        <f t="shared" si="13"/>
        <v/>
      </c>
      <c r="Y24" s="85">
        <f t="shared" si="12"/>
        <v>46076</v>
      </c>
      <c r="Z24" s="41" t="str">
        <f t="shared" si="14"/>
        <v/>
      </c>
      <c r="AA24" s="42"/>
      <c r="AD24" s="4">
        <v>14</v>
      </c>
      <c r="AE24" s="134" t="str">
        <f>初期条件設定表!U18</f>
        <v xml:space="preserve"> </v>
      </c>
      <c r="AF24" s="163" t="str">
        <f>初期条件設定表!V18</f>
        <v>シミュレーション</v>
      </c>
    </row>
    <row r="25" spans="1:32" ht="45.9" customHeight="1">
      <c r="A25" s="107">
        <f t="shared" si="8"/>
        <v>46077</v>
      </c>
      <c r="B25" s="98" t="s">
        <v>30</v>
      </c>
      <c r="C25" s="212"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17"/>
        <v/>
      </c>
      <c r="R25" s="71" t="str">
        <f t="shared" si="3"/>
        <v/>
      </c>
      <c r="S25" s="71" t="str">
        <f t="shared" si="4"/>
        <v/>
      </c>
      <c r="T25" s="71" t="str">
        <f t="shared" si="5"/>
        <v/>
      </c>
      <c r="U25" s="71" t="str">
        <f t="shared" si="6"/>
        <v/>
      </c>
      <c r="V25" s="71" t="str">
        <f t="shared" si="7"/>
        <v/>
      </c>
      <c r="W25" s="71" t="str">
        <f t="shared" si="11"/>
        <v/>
      </c>
      <c r="X25" s="71" t="str">
        <f t="shared" si="13"/>
        <v/>
      </c>
      <c r="Y25" s="85">
        <f t="shared" si="12"/>
        <v>46077</v>
      </c>
      <c r="Z25" s="41" t="str">
        <f t="shared" si="14"/>
        <v/>
      </c>
      <c r="AA25" s="42"/>
      <c r="AD25" s="4">
        <v>15</v>
      </c>
      <c r="AE25" s="134" t="str">
        <f>初期条件設定表!U19</f>
        <v xml:space="preserve"> </v>
      </c>
      <c r="AF25" s="163" t="str">
        <f>初期条件設定表!V19</f>
        <v>製造・加工</v>
      </c>
    </row>
    <row r="26" spans="1:32" ht="45.9" customHeight="1">
      <c r="A26" s="107">
        <f t="shared" si="8"/>
        <v>46078</v>
      </c>
      <c r="B26" s="98" t="s">
        <v>30</v>
      </c>
      <c r="C26" s="212"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17"/>
        <v/>
      </c>
      <c r="R26" s="71" t="str">
        <f t="shared" si="3"/>
        <v/>
      </c>
      <c r="S26" s="71" t="str">
        <f t="shared" si="4"/>
        <v/>
      </c>
      <c r="T26" s="71" t="str">
        <f t="shared" si="5"/>
        <v/>
      </c>
      <c r="U26" s="71" t="str">
        <f t="shared" si="6"/>
        <v/>
      </c>
      <c r="V26" s="71" t="str">
        <f t="shared" si="7"/>
        <v/>
      </c>
      <c r="W26" s="71" t="str">
        <f t="shared" si="11"/>
        <v/>
      </c>
      <c r="X26" s="71" t="str">
        <f t="shared" si="13"/>
        <v/>
      </c>
      <c r="Y26" s="85">
        <f t="shared" si="12"/>
        <v>46078</v>
      </c>
      <c r="Z26" s="41" t="str">
        <f t="shared" si="14"/>
        <v/>
      </c>
      <c r="AA26" s="42"/>
      <c r="AD26" s="4">
        <v>16</v>
      </c>
      <c r="AE26" s="134" t="str">
        <f>初期条件設定表!U20</f>
        <v xml:space="preserve"> </v>
      </c>
      <c r="AF26" s="163" t="str">
        <f>初期条件設定表!V20</f>
        <v>組み立て</v>
      </c>
    </row>
    <row r="27" spans="1:32" ht="45.9" customHeight="1">
      <c r="A27" s="107">
        <f t="shared" si="8"/>
        <v>46079</v>
      </c>
      <c r="B27" s="98" t="s">
        <v>30</v>
      </c>
      <c r="C27" s="212"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17"/>
        <v/>
      </c>
      <c r="R27" s="71" t="str">
        <f t="shared" si="3"/>
        <v/>
      </c>
      <c r="S27" s="71" t="str">
        <f t="shared" si="4"/>
        <v/>
      </c>
      <c r="T27" s="71" t="str">
        <f t="shared" si="5"/>
        <v/>
      </c>
      <c r="U27" s="71" t="str">
        <f t="shared" si="6"/>
        <v/>
      </c>
      <c r="V27" s="71" t="str">
        <f t="shared" si="7"/>
        <v/>
      </c>
      <c r="W27" s="71" t="str">
        <f t="shared" si="11"/>
        <v/>
      </c>
      <c r="X27" s="71" t="str">
        <f t="shared" si="13"/>
        <v/>
      </c>
      <c r="Y27" s="85">
        <f t="shared" si="12"/>
        <v>46079</v>
      </c>
      <c r="Z27" s="41" t="str">
        <f t="shared" si="14"/>
        <v/>
      </c>
      <c r="AA27" s="42"/>
      <c r="AD27" s="4">
        <v>17</v>
      </c>
      <c r="AE27" s="134" t="str">
        <f>初期条件設定表!U21</f>
        <v xml:space="preserve"> </v>
      </c>
      <c r="AF27" s="163" t="str">
        <f>初期条件設定表!V21</f>
        <v>動作・性能試験</v>
      </c>
    </row>
    <row r="28" spans="1:32" ht="45.9" customHeight="1">
      <c r="A28" s="107">
        <f t="shared" si="8"/>
        <v>46080</v>
      </c>
      <c r="B28" s="98" t="s">
        <v>30</v>
      </c>
      <c r="C28" s="212"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17"/>
        <v/>
      </c>
      <c r="R28" s="71" t="str">
        <f t="shared" si="3"/>
        <v/>
      </c>
      <c r="S28" s="71" t="str">
        <f t="shared" si="4"/>
        <v/>
      </c>
      <c r="T28" s="71" t="str">
        <f t="shared" si="5"/>
        <v/>
      </c>
      <c r="U28" s="71" t="str">
        <f t="shared" si="6"/>
        <v/>
      </c>
      <c r="V28" s="71" t="str">
        <f t="shared" si="7"/>
        <v/>
      </c>
      <c r="W28" s="71" t="str">
        <f t="shared" si="11"/>
        <v/>
      </c>
      <c r="X28" s="71" t="str">
        <f t="shared" si="13"/>
        <v/>
      </c>
      <c r="Y28" s="85">
        <f t="shared" si="12"/>
        <v>46080</v>
      </c>
      <c r="Z28" s="41" t="str">
        <f t="shared" si="14"/>
        <v/>
      </c>
      <c r="AA28" s="42"/>
      <c r="AD28" s="4">
        <v>18</v>
      </c>
      <c r="AE28" s="134" t="str">
        <f>初期条件設定表!U22</f>
        <v xml:space="preserve"> </v>
      </c>
      <c r="AF28" s="163" t="str">
        <f>初期条件設定表!V22</f>
        <v>○○</v>
      </c>
    </row>
    <row r="29" spans="1:32" ht="45.9" customHeight="1">
      <c r="A29" s="107" t="str">
        <f t="shared" si="8"/>
        <v/>
      </c>
      <c r="B29" s="98" t="s">
        <v>30</v>
      </c>
      <c r="C29" s="212"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17"/>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D29" s="4">
        <v>19</v>
      </c>
      <c r="AE29" s="134" t="str">
        <f>初期条件設定表!U23</f>
        <v xml:space="preserve"> </v>
      </c>
      <c r="AF29" s="163" t="str">
        <f>初期条件設定表!V23</f>
        <v>○○</v>
      </c>
    </row>
    <row r="30" spans="1:32" ht="45.9" customHeight="1">
      <c r="A30" s="107" t="str">
        <f t="shared" si="8"/>
        <v/>
      </c>
      <c r="B30" s="98" t="s">
        <v>30</v>
      </c>
      <c r="C30" s="212"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17"/>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D30" s="4">
        <v>20</v>
      </c>
      <c r="AE30" s="134" t="str">
        <f>初期条件設定表!U24</f>
        <v xml:space="preserve"> </v>
      </c>
      <c r="AF30" s="163" t="str">
        <f>初期条件設定表!V24</f>
        <v>○○</v>
      </c>
    </row>
    <row r="31" spans="1:32" ht="45.9" customHeight="1">
      <c r="A31" s="107" t="str">
        <f t="shared" si="8"/>
        <v/>
      </c>
      <c r="B31" s="99" t="s">
        <v>30</v>
      </c>
      <c r="C31" s="213"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17"/>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D31" s="4">
        <v>21</v>
      </c>
      <c r="AE31" s="134" t="str">
        <f>初期条件設定表!U25</f>
        <v xml:space="preserve"> </v>
      </c>
      <c r="AF31" s="163" t="str">
        <f>初期条件設定表!V25</f>
        <v>○○</v>
      </c>
    </row>
    <row r="32" spans="1:32" ht="45.9" customHeight="1" thickBot="1">
      <c r="A32" s="107" t="str">
        <f t="shared" si="8"/>
        <v/>
      </c>
      <c r="B32" s="98" t="s">
        <v>30</v>
      </c>
      <c r="C32" s="212"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17"/>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D32" s="4">
        <v>22</v>
      </c>
      <c r="AE32" s="134" t="str">
        <f>初期条件設定表!U26</f>
        <v xml:space="preserve"> </v>
      </c>
      <c r="AF32" s="163" t="str">
        <f>初期条件設定表!V26</f>
        <v xml:space="preserve"> </v>
      </c>
    </row>
    <row r="33" spans="1:32" ht="45.9" hidden="1" customHeight="1">
      <c r="A33" s="107"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17"/>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c r="AE33" s="163"/>
      <c r="AF33" s="163"/>
    </row>
    <row r="34" spans="1:32" ht="45.9" hidden="1" customHeight="1">
      <c r="A34" s="107"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17"/>
        <v/>
      </c>
      <c r="R34" s="71" t="str">
        <f t="shared" si="3"/>
        <v/>
      </c>
      <c r="S34" s="71" t="str">
        <f t="shared" si="4"/>
        <v/>
      </c>
      <c r="T34" s="71" t="str">
        <f t="shared" si="5"/>
        <v/>
      </c>
      <c r="U34" s="71" t="str">
        <f t="shared" si="6"/>
        <v/>
      </c>
      <c r="V34" s="71" t="str">
        <f t="shared" si="7"/>
        <v/>
      </c>
      <c r="W34" s="71" t="str">
        <f t="shared" ref="W34" si="18">IF(OR(DBCS($B34)="：",$B34="",DBCS($D34)="：",$D34=""),"",SUM(R34:V34))</f>
        <v/>
      </c>
      <c r="X34" s="71" t="str">
        <f t="shared" si="13"/>
        <v/>
      </c>
      <c r="Y34" s="85" t="str">
        <f t="shared" si="12"/>
        <v/>
      </c>
      <c r="Z34" s="41"/>
      <c r="AA34" s="42"/>
      <c r="AE34" s="163"/>
      <c r="AF34" s="163"/>
    </row>
    <row r="35" spans="1:32" ht="45.9" hidden="1" customHeight="1" thickBot="1">
      <c r="A35" s="108"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17"/>
        <v/>
      </c>
      <c r="R35" s="71" t="str">
        <f t="shared" si="3"/>
        <v/>
      </c>
      <c r="S35" s="71" t="str">
        <f t="shared" si="4"/>
        <v/>
      </c>
      <c r="T35" s="71" t="str">
        <f t="shared" si="5"/>
        <v/>
      </c>
      <c r="U35" s="71" t="str">
        <f t="shared" si="6"/>
        <v/>
      </c>
      <c r="V35" s="71" t="str">
        <f t="shared" si="7"/>
        <v/>
      </c>
      <c r="W35" s="71" t="str">
        <f t="shared" ref="W35" si="19">IF(OR(DBCS($B35)="：",$B35="",DBCS($D35)="：",$D35=""),"",SUM(R35:V35))</f>
        <v/>
      </c>
      <c r="X35" s="71" t="str">
        <f t="shared" si="13"/>
        <v/>
      </c>
      <c r="Y35" s="92" t="str">
        <f t="shared" si="12"/>
        <v/>
      </c>
      <c r="Z35" s="41" t="str">
        <f>IF(OR(DBCS($B35)="：",$B35="",DBCS($D35)="：",$D35=""),"",MAX(MIN($D35,TIME(23,59,59))-MAX($B35,$AG$1),0))</f>
        <v/>
      </c>
      <c r="AA35" s="42"/>
      <c r="AE35" s="163"/>
      <c r="AF35" s="163"/>
    </row>
    <row r="36" spans="1:32" ht="41.25" customHeight="1" thickBot="1">
      <c r="A36" s="43" t="s">
        <v>31</v>
      </c>
      <c r="B36" s="333"/>
      <c r="C36" s="334"/>
      <c r="D36" s="335"/>
      <c r="E36" s="336">
        <f>SUM(E9:E35)+SUM(G9:G35)/60</f>
        <v>37.5</v>
      </c>
      <c r="F36" s="337"/>
      <c r="G36" s="338" t="s">
        <v>1</v>
      </c>
      <c r="H36" s="339"/>
      <c r="I36" s="142"/>
      <c r="J36" s="143"/>
      <c r="K36" s="82">
        <f>SUM(K9:K35)</f>
        <v>174750</v>
      </c>
      <c r="L36" s="83" t="s">
        <v>0</v>
      </c>
      <c r="M36" s="351"/>
      <c r="N36" s="352"/>
      <c r="O36" s="56"/>
      <c r="P36" s="56"/>
      <c r="Q36" s="56"/>
      <c r="R36" s="56"/>
      <c r="S36" s="56"/>
      <c r="T36" s="56"/>
      <c r="U36" s="56"/>
      <c r="V36" s="72"/>
      <c r="W36" s="72"/>
      <c r="X36" s="72"/>
      <c r="Y36" s="72"/>
      <c r="Z36" s="42"/>
      <c r="AA36" s="42"/>
    </row>
    <row r="37" spans="1:32"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32">
      <c r="O38" s="56"/>
      <c r="P38" s="56"/>
      <c r="Q38" s="56"/>
      <c r="R38" s="56"/>
      <c r="S38" s="56"/>
      <c r="T38" s="56"/>
      <c r="U38" s="56"/>
      <c r="V38" s="56"/>
      <c r="W38" s="56"/>
      <c r="X38" s="56"/>
      <c r="Y38" s="56"/>
    </row>
    <row r="39" spans="1:32" ht="25.9" customHeight="1">
      <c r="B39" s="242" t="s">
        <v>148</v>
      </c>
      <c r="O39" s="56"/>
      <c r="P39" s="56"/>
      <c r="Q39" s="56"/>
      <c r="R39" s="56"/>
      <c r="S39" s="56"/>
      <c r="T39" s="56"/>
      <c r="U39" s="56"/>
      <c r="V39" s="56"/>
      <c r="W39" s="56"/>
      <c r="X39" s="56"/>
      <c r="Y39" s="56"/>
    </row>
    <row r="40" spans="1:32" ht="21.65" customHeight="1">
      <c r="O40" s="56"/>
      <c r="P40" s="56"/>
      <c r="Q40" s="56"/>
      <c r="R40" s="56"/>
      <c r="S40" s="56"/>
      <c r="T40" s="56"/>
      <c r="U40" s="56"/>
      <c r="V40" s="56"/>
      <c r="W40" s="56"/>
      <c r="X40" s="56"/>
      <c r="Y40" s="56"/>
    </row>
    <row r="41" spans="1:32" ht="31.25" customHeight="1">
      <c r="M41" s="243" t="s">
        <v>149</v>
      </c>
      <c r="N41" s="284" t="s">
        <v>188</v>
      </c>
      <c r="O41" s="241"/>
      <c r="P41" s="56"/>
      <c r="Q41" s="56"/>
      <c r="R41" s="56"/>
      <c r="S41" s="56"/>
      <c r="T41" s="56"/>
      <c r="U41" s="56"/>
      <c r="V41" s="56"/>
      <c r="W41" s="56"/>
      <c r="X41" s="56"/>
      <c r="Y41" s="56"/>
    </row>
    <row r="42" spans="1:32" ht="31.25" customHeight="1">
      <c r="M42" s="243" t="s">
        <v>150</v>
      </c>
      <c r="N42" s="284" t="s">
        <v>189</v>
      </c>
      <c r="O42" s="244"/>
      <c r="P42" s="56"/>
      <c r="Q42" s="56"/>
      <c r="R42" s="56"/>
      <c r="S42" s="56"/>
      <c r="T42" s="56"/>
      <c r="U42" s="56"/>
      <c r="V42" s="56"/>
      <c r="W42" s="56"/>
      <c r="X42" s="56"/>
      <c r="Y42" s="56"/>
    </row>
    <row r="43" spans="1:32" ht="31.25" customHeight="1">
      <c r="M43" s="243" t="s">
        <v>151</v>
      </c>
      <c r="N43" s="284" t="s">
        <v>190</v>
      </c>
      <c r="O43" s="244"/>
      <c r="P43" s="56"/>
      <c r="Q43" s="56"/>
      <c r="R43" s="56"/>
      <c r="S43" s="56"/>
      <c r="T43" s="56"/>
      <c r="U43" s="56"/>
      <c r="V43" s="56"/>
      <c r="W43" s="56"/>
      <c r="X43" s="56"/>
      <c r="Y43" s="56"/>
    </row>
    <row r="44" spans="1:32">
      <c r="O44" s="56"/>
      <c r="P44" s="56"/>
      <c r="Q44" s="56"/>
      <c r="R44" s="56"/>
      <c r="S44" s="56"/>
      <c r="T44" s="56"/>
      <c r="U44" s="56"/>
      <c r="V44" s="56"/>
      <c r="W44" s="56"/>
      <c r="X44" s="56"/>
      <c r="Y44" s="56"/>
    </row>
    <row r="45" spans="1:32">
      <c r="O45" s="56"/>
      <c r="P45" s="56"/>
      <c r="Q45" s="56"/>
      <c r="R45" s="56"/>
      <c r="S45" s="56"/>
      <c r="T45" s="56"/>
      <c r="U45" s="56"/>
      <c r="V45" s="56"/>
      <c r="W45" s="56"/>
      <c r="X45" s="56"/>
      <c r="Y45" s="56"/>
    </row>
    <row r="46" spans="1:32">
      <c r="O46" s="56"/>
      <c r="P46" s="56"/>
      <c r="Q46" s="56"/>
      <c r="R46" s="56"/>
      <c r="S46" s="56"/>
      <c r="T46" s="56"/>
      <c r="U46" s="56"/>
      <c r="V46" s="56"/>
      <c r="W46" s="56"/>
      <c r="X46" s="56"/>
      <c r="Y46" s="56"/>
    </row>
    <row r="47" spans="1:32">
      <c r="O47" s="56"/>
      <c r="P47" s="56"/>
      <c r="Q47" s="56"/>
      <c r="R47" s="56"/>
      <c r="S47" s="56"/>
      <c r="T47" s="56"/>
      <c r="U47" s="56"/>
      <c r="V47" s="56"/>
      <c r="W47" s="56"/>
      <c r="X47" s="56"/>
      <c r="Y47" s="56"/>
    </row>
    <row r="48" spans="1:32">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selectLockedCells="1" selectUnlockedCells="1"/>
  <mergeCells count="28">
    <mergeCell ref="A7:A8"/>
    <mergeCell ref="B7:D8"/>
    <mergeCell ref="E7:H8"/>
    <mergeCell ref="K7:L8"/>
    <mergeCell ref="J7:J8"/>
    <mergeCell ref="I7:I8"/>
    <mergeCell ref="AH6:AI6"/>
    <mergeCell ref="M7:N7"/>
    <mergeCell ref="W7:W8"/>
    <mergeCell ref="M36:N36"/>
    <mergeCell ref="T7:T8"/>
    <mergeCell ref="U7:U8"/>
    <mergeCell ref="V7:V8"/>
    <mergeCell ref="P7:P8"/>
    <mergeCell ref="Q7:Q8"/>
    <mergeCell ref="S7:S8"/>
    <mergeCell ref="R7:R8"/>
    <mergeCell ref="O7:O8"/>
    <mergeCell ref="J6:N6"/>
    <mergeCell ref="B36:D36"/>
    <mergeCell ref="E36:F36"/>
    <mergeCell ref="G36:H36"/>
    <mergeCell ref="AD1:AD5"/>
    <mergeCell ref="B3:D3"/>
    <mergeCell ref="B4:D4"/>
    <mergeCell ref="B5:D5"/>
    <mergeCell ref="D1:N2"/>
    <mergeCell ref="E3:N5"/>
  </mergeCells>
  <phoneticPr fontId="3"/>
  <dataValidations count="6">
    <dataValidation type="time" allowBlank="1" showInputMessage="1" showErrorMessage="1" sqref="D9:D35 B9:B35" xr:uid="{00000000-0002-0000-0500-000000000000}">
      <formula1>0</formula1>
      <formula2>0.999305555555556</formula2>
    </dataValidation>
    <dataValidation type="list" allowBlank="1" showInputMessage="1" showErrorMessage="1" sqref="N9:N32" xr:uid="{00000000-0002-0000-0500-000001000000}">
      <formula1>$AF$11:$AF$32</formula1>
    </dataValidation>
    <dataValidation type="list" allowBlank="1" showInputMessage="1" showErrorMessage="1" sqref="N33:N35" xr:uid="{00000000-0002-0000-0500-000002000000}">
      <formula1>$AF$11:$AF$16</formula1>
    </dataValidation>
    <dataValidation type="list" allowBlank="1" showInputMessage="1" showErrorMessage="1" sqref="M33:M35" xr:uid="{00000000-0002-0000-0500-000003000000}">
      <formula1>$AE$11:$AE$20</formula1>
    </dataValidation>
    <dataValidation type="list" allowBlank="1" showInputMessage="1" showErrorMessage="1" sqref="M15:M16 M22:M32" xr:uid="{00000000-0002-0000-0500-000004000000}">
      <formula1>$AE$11:$AE$18</formula1>
    </dataValidation>
    <dataValidation type="list" allowBlank="1" showInputMessage="1" showErrorMessage="1" sqref="M9:M14 M17:M21" xr:uid="{7CEC7FBC-7B9B-4641-9315-5D782C308795}">
      <formula1>$AE$11:$AE$15</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39997558519241921"/>
  </sheetPr>
  <dimension ref="A1:AP51"/>
  <sheetViews>
    <sheetView view="pageBreakPreview" zoomScale="60" zoomScaleNormal="70" workbookViewId="0"/>
  </sheetViews>
  <sheetFormatPr defaultColWidth="11.26953125" defaultRowHeight="13"/>
  <cols>
    <col min="1" max="1" width="19.45312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4"/>
      <c r="C1" s="113"/>
      <c r="D1" s="344" t="str">
        <f>"作　業　日　報　兼　直　接　人　件　費　個　別　明　細　表　（"&amp;AJ7&amp;"年"&amp;AJ8&amp;"月支払分）"</f>
        <v>作　業　日　報　兼　直　接　人　件　費　個　別　明　細　表　（2026年4月支払分）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従事者別直接人件費集計表（前期）'!A9</f>
        <v>2026</v>
      </c>
      <c r="AK1" s="56"/>
      <c r="AL1" s="56"/>
      <c r="AM1" s="59" t="s">
        <v>41</v>
      </c>
      <c r="AN1" s="61" t="str">
        <f ca="1">RIGHT(CELL("filename",A1),LEN(CELL("filename",A1))-FIND("]",CELL("filename",A1)))</f>
        <v>2026年3月作業分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従事者別直接人件費集計表（前期）'!D9</f>
        <v>3</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46082</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46112</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28</v>
      </c>
      <c r="AG6" s="56" t="s">
        <v>36</v>
      </c>
      <c r="AH6" s="347" t="s">
        <v>107</v>
      </c>
      <c r="AI6" s="347"/>
      <c r="AJ6" s="144">
        <f>初期条件設定表!$C$15</f>
        <v>0.33333333333333331</v>
      </c>
    </row>
    <row r="7" spans="1:42" s="105" customFormat="1" ht="24" customHeight="1">
      <c r="A7" s="370" t="s">
        <v>7</v>
      </c>
      <c r="B7" s="358" t="s">
        <v>6</v>
      </c>
      <c r="C7" s="358"/>
      <c r="D7" s="358"/>
      <c r="E7" s="360" t="s">
        <v>5</v>
      </c>
      <c r="F7" s="361"/>
      <c r="G7" s="361"/>
      <c r="H7" s="362"/>
      <c r="I7" s="368" t="s">
        <v>106</v>
      </c>
      <c r="J7" s="368" t="s">
        <v>105</v>
      </c>
      <c r="K7" s="360" t="s">
        <v>4</v>
      </c>
      <c r="L7" s="361"/>
      <c r="M7" s="372" t="s">
        <v>115</v>
      </c>
      <c r="N7" s="349"/>
      <c r="O7" s="37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従事者別直接人件費集計表（前期）'!A9,'入力用 従事者別直接人件費集計表（前期）'!A10)</f>
        <v>2026</v>
      </c>
    </row>
    <row r="8" spans="1:42" s="105" customFormat="1" ht="24" customHeight="1" thickBot="1">
      <c r="A8" s="371"/>
      <c r="B8" s="359"/>
      <c r="C8" s="359"/>
      <c r="D8" s="359"/>
      <c r="E8" s="363"/>
      <c r="F8" s="364"/>
      <c r="G8" s="364"/>
      <c r="H8" s="365"/>
      <c r="I8" s="369"/>
      <c r="J8" s="369"/>
      <c r="K8" s="366"/>
      <c r="L8" s="373"/>
      <c r="M8" s="175" t="s">
        <v>116</v>
      </c>
      <c r="N8" s="155" t="s">
        <v>121</v>
      </c>
      <c r="O8" s="374"/>
      <c r="P8" s="353"/>
      <c r="Q8" s="353"/>
      <c r="R8" s="353"/>
      <c r="S8" s="353"/>
      <c r="T8" s="353"/>
      <c r="U8" s="353"/>
      <c r="V8" s="353"/>
      <c r="W8" s="350"/>
      <c r="X8" s="153"/>
      <c r="Y8" s="153"/>
      <c r="AI8" s="105" t="s">
        <v>109</v>
      </c>
      <c r="AJ8" s="106">
        <f>IF(初期条件設定表!C26="当月",'入力用 従事者別直接人件費集計表（前期）'!D9,'入力用 従事者別直接人件費集計表（前期）'!D10)</f>
        <v>4</v>
      </c>
    </row>
    <row r="9" spans="1:42" ht="45.9" customHeight="1">
      <c r="A9" s="85">
        <f>Y9</f>
        <v>46083</v>
      </c>
      <c r="B9" s="275">
        <v>0.375</v>
      </c>
      <c r="C9" s="285" t="s">
        <v>24</v>
      </c>
      <c r="D9" s="277">
        <v>0.75</v>
      </c>
      <c r="E9" s="87">
        <f>IFERROR(HOUR(Q9),"")</f>
        <v>6</v>
      </c>
      <c r="F9" s="88" t="s">
        <v>28</v>
      </c>
      <c r="G9" s="89">
        <f>IFERROR(MINUTE(Q9),"")</f>
        <v>0</v>
      </c>
      <c r="H9" s="135" t="s">
        <v>29</v>
      </c>
      <c r="I9" s="139">
        <f>T9</f>
        <v>4.166666666666663E-2</v>
      </c>
      <c r="J9" s="279">
        <v>8.3333333333333329E-2</v>
      </c>
      <c r="K9" s="90">
        <f>IFERROR((E9+G9/60)*$B$5,"")</f>
        <v>27960</v>
      </c>
      <c r="L9" s="156" t="s">
        <v>0</v>
      </c>
      <c r="M9" s="280" t="s">
        <v>152</v>
      </c>
      <c r="N9" s="281" t="s">
        <v>191</v>
      </c>
      <c r="O9" s="69">
        <f t="shared" ref="O9:O35" si="0">IF(OR(DBCS(B9)="：",B9="",DBCS(D9)="：",D9=""),"",$D9-$B9)</f>
        <v>0.375</v>
      </c>
      <c r="P9" s="69">
        <f t="shared" ref="P9:P35" si="1">IFERROR(IF(J9="",D9-B9-W9,D9-B9-J9-W9),"")</f>
        <v>0.25000000000000006</v>
      </c>
      <c r="Q9" s="70">
        <f t="shared" ref="Q9:Q35" si="2">IFERROR(MIN(IF(P9&gt;0,FLOOR(P9,"0:30"),""),$AJ$6),"")</f>
        <v>0.25</v>
      </c>
      <c r="R9" s="71">
        <f>IF(OR(DBCS($B9)="：",$B9="",DBCS($D9)="：",$D9=""),"",MAX(MIN($D9,AF$1)-MAX($B9,TIME(0,0,0)),0))</f>
        <v>0</v>
      </c>
      <c r="S9" s="71">
        <f t="shared" ref="S9:S35" si="3">IF(OR(DBCS($B9)="：",$B9="",DBCS($D9)="：",$D9=""),"",MAX(MIN($D9,AG$2)-MAX($B9,$AF$2),0))</f>
        <v>0</v>
      </c>
      <c r="T9" s="71">
        <f t="shared" ref="T9:T35" si="4">IF(OR(DBCS($B9)="：",$B9="",DBCS($D9)="：",$D9=""),"",MAX(MIN($D9,$AG$3)-MAX($B9,$AF$3),0))</f>
        <v>4.166666666666663E-2</v>
      </c>
      <c r="U9" s="71">
        <f t="shared" ref="U9:U35" si="5">IF(OR(DBCS($B9)="：",$B9="",DBCS($D9)="：",$D9=""),"",MAX(MIN($D9,$AG$4)-MAX($B9,$AF$4),0))</f>
        <v>0</v>
      </c>
      <c r="V9" s="71">
        <f t="shared" ref="V9:V35" si="6">IF(OR(DBCS($B9)="：",$B9="",DBCS($D9)="：",$D9=""),"",MAX(MIN($D9,TIME(23,59,59))-MAX($B9,$AG$1),0))</f>
        <v>0</v>
      </c>
      <c r="W9" s="71">
        <f>IF(OR(DBCS($B9)="：",$B9="",DBCS($D9)="：",$D9=""),"",SUM(R9:V9))</f>
        <v>4.166666666666663E-2</v>
      </c>
      <c r="X9" s="56"/>
      <c r="Y9" s="85">
        <f>IF($AJ$3="","",IF(FIND(TEXT($AJ$3,"aaa"),$AN$5)&gt;$AN$4,$AJ$3,IF(FIND(TEXT($AJ$3+1,"aaa"),$AN$5)&gt;$AN$4,$AJ$3+1,IF(FIND(TEXT($AJ$3+2,"aaa"),$AN$5)&gt;$AN$4,$AJ$3+2,IF(FIND(TEXT($AJ$3+3,"aaa"),$AN$5)&gt;$AN$4,$AJ$3+3,"")))))</f>
        <v>46083</v>
      </c>
      <c r="AA9" s="42"/>
    </row>
    <row r="10" spans="1:42" ht="45.9" customHeight="1">
      <c r="A10" s="85">
        <f t="shared" ref="A10:A35" si="7">Y10</f>
        <v>46084</v>
      </c>
      <c r="B10" s="275">
        <v>0.375</v>
      </c>
      <c r="C10" s="285" t="s">
        <v>24</v>
      </c>
      <c r="D10" s="277">
        <v>0.75</v>
      </c>
      <c r="E10" s="87">
        <f>IFERROR(HOUR(Q10),"")</f>
        <v>6</v>
      </c>
      <c r="F10" s="88" t="s">
        <v>28</v>
      </c>
      <c r="G10" s="89">
        <f>IFERROR(MINUTE(Q10),"")</f>
        <v>0</v>
      </c>
      <c r="H10" s="135" t="s">
        <v>29</v>
      </c>
      <c r="I10" s="137">
        <f t="shared" ref="I10:I35" si="8">T10</f>
        <v>4.166666666666663E-2</v>
      </c>
      <c r="J10" s="279">
        <v>8.3333333333333329E-2</v>
      </c>
      <c r="K10" s="90">
        <f t="shared" ref="K10:K35" si="9">IFERROR((E10+G10/60)*$B$5,"")</f>
        <v>27960</v>
      </c>
      <c r="L10" s="156" t="s">
        <v>0</v>
      </c>
      <c r="M10" s="282" t="s">
        <v>152</v>
      </c>
      <c r="N10" s="283" t="s">
        <v>191</v>
      </c>
      <c r="O10" s="69">
        <f t="shared" si="0"/>
        <v>0.375</v>
      </c>
      <c r="P10" s="69">
        <f t="shared" si="1"/>
        <v>0.25000000000000006</v>
      </c>
      <c r="Q10" s="70">
        <f t="shared" si="2"/>
        <v>0.25</v>
      </c>
      <c r="R10" s="71">
        <f t="shared" ref="R10:R35" si="10">IF(OR(DBCS($B10)="：",$B10="",DBCS($D10)="：",$D10=""),"",MAX(MIN($D10,AF$1)-MAX($B10,TIME(0,0,0)),0))</f>
        <v>0</v>
      </c>
      <c r="S10" s="71">
        <f t="shared" si="3"/>
        <v>0</v>
      </c>
      <c r="T10" s="71">
        <f t="shared" si="4"/>
        <v>4.166666666666663E-2</v>
      </c>
      <c r="U10" s="71">
        <f t="shared" si="5"/>
        <v>0</v>
      </c>
      <c r="V10" s="71">
        <f t="shared" si="6"/>
        <v>0</v>
      </c>
      <c r="W10" s="71">
        <f t="shared" ref="W10:W33" si="11">IF(OR(DBCS($B10)="：",$B10="",DBCS($D10)="：",$D10=""),"",SUM(R10:V10))</f>
        <v>4.166666666666663E-2</v>
      </c>
      <c r="X10" s="56"/>
      <c r="Y10" s="85">
        <f t="shared" ref="Y10:Y35" si="12">IF($A9="","",IF(AND($A9+1&lt;=$AJ$4,FIND(TEXT($A9+1,"aaa"),$AN$5)&gt;$AN$4),$A9+1,IF(AND($A9+2&lt;=$AJ$4,FIND(TEXT($A9+2,"aaa"),$AN$5)&gt;$AN$4),$A9+2,IF(AND($A9+3&lt;=$AJ$4,FIND(TEXT($A9+3,"aaa"),$AN$5)&gt;$AN$4),$A9+3,IF(AND($A9+4&lt;=$AJ$4,FIND(TEXT($A9+4,"aaa"),$AN$5)&gt;$AN$4),$A9+4,"")))))</f>
        <v>46084</v>
      </c>
      <c r="AA10" s="42"/>
      <c r="AE10" s="161" t="s">
        <v>117</v>
      </c>
      <c r="AF10" s="161" t="s">
        <v>127</v>
      </c>
    </row>
    <row r="11" spans="1:42" ht="45.9" customHeight="1">
      <c r="A11" s="85">
        <f t="shared" si="7"/>
        <v>46085</v>
      </c>
      <c r="B11" s="275">
        <v>0.375</v>
      </c>
      <c r="C11" s="285" t="s">
        <v>24</v>
      </c>
      <c r="D11" s="277">
        <v>0.75</v>
      </c>
      <c r="E11" s="87">
        <f>IFERROR(HOUR(Q11),"")</f>
        <v>8</v>
      </c>
      <c r="F11" s="88" t="s">
        <v>28</v>
      </c>
      <c r="G11" s="89">
        <f>IFERROR(MINUTE(Q11),"")</f>
        <v>0</v>
      </c>
      <c r="H11" s="135" t="s">
        <v>29</v>
      </c>
      <c r="I11" s="137">
        <f t="shared" si="8"/>
        <v>4.166666666666663E-2</v>
      </c>
      <c r="J11" s="140"/>
      <c r="K11" s="90">
        <f t="shared" si="9"/>
        <v>37280</v>
      </c>
      <c r="L11" s="156" t="s">
        <v>0</v>
      </c>
      <c r="M11" s="282" t="s">
        <v>152</v>
      </c>
      <c r="N11" s="283" t="s">
        <v>191</v>
      </c>
      <c r="O11" s="69">
        <f t="shared" si="0"/>
        <v>0.375</v>
      </c>
      <c r="P11" s="69">
        <f t="shared" si="1"/>
        <v>0.33333333333333337</v>
      </c>
      <c r="Q11" s="70">
        <f t="shared" si="2"/>
        <v>0.33333333333333331</v>
      </c>
      <c r="R11" s="71">
        <f t="shared" si="10"/>
        <v>0</v>
      </c>
      <c r="S11" s="71">
        <f t="shared" si="3"/>
        <v>0</v>
      </c>
      <c r="T11" s="71">
        <f t="shared" si="4"/>
        <v>4.166666666666663E-2</v>
      </c>
      <c r="U11" s="71">
        <f t="shared" si="5"/>
        <v>0</v>
      </c>
      <c r="V11" s="71">
        <f t="shared" si="6"/>
        <v>0</v>
      </c>
      <c r="W11" s="71">
        <f t="shared" si="11"/>
        <v>4.166666666666663E-2</v>
      </c>
      <c r="X11" s="56"/>
      <c r="Y11" s="85">
        <f t="shared" si="12"/>
        <v>46085</v>
      </c>
      <c r="AA11" s="42"/>
      <c r="AE11" s="134" t="str">
        <f>初期条件設定表!U5</f>
        <v>　</v>
      </c>
      <c r="AF11" s="162" t="str">
        <f>初期条件設定表!V5</f>
        <v>　</v>
      </c>
    </row>
    <row r="12" spans="1:42" ht="45.9" customHeight="1">
      <c r="A12" s="85">
        <f t="shared" si="7"/>
        <v>46086</v>
      </c>
      <c r="B12" s="275">
        <v>0.375</v>
      </c>
      <c r="C12" s="285" t="s">
        <v>24</v>
      </c>
      <c r="D12" s="277">
        <v>0.75</v>
      </c>
      <c r="E12" s="87">
        <f>IFERROR(HOUR(Q12),"")</f>
        <v>8</v>
      </c>
      <c r="F12" s="88" t="s">
        <v>28</v>
      </c>
      <c r="G12" s="89">
        <f>IFERROR(MINUTE(Q12),"")</f>
        <v>0</v>
      </c>
      <c r="H12" s="135" t="s">
        <v>29</v>
      </c>
      <c r="I12" s="137">
        <f t="shared" si="8"/>
        <v>4.166666666666663E-2</v>
      </c>
      <c r="J12" s="140"/>
      <c r="K12" s="90">
        <f t="shared" si="9"/>
        <v>37280</v>
      </c>
      <c r="L12" s="156" t="s">
        <v>0</v>
      </c>
      <c r="M12" s="282" t="s">
        <v>152</v>
      </c>
      <c r="N12" s="283" t="s">
        <v>191</v>
      </c>
      <c r="O12" s="69">
        <f t="shared" si="0"/>
        <v>0.375</v>
      </c>
      <c r="P12" s="69">
        <f t="shared" si="1"/>
        <v>0.33333333333333337</v>
      </c>
      <c r="Q12" s="70">
        <f t="shared" si="2"/>
        <v>0.33333333333333331</v>
      </c>
      <c r="R12" s="71">
        <f t="shared" si="10"/>
        <v>0</v>
      </c>
      <c r="S12" s="71">
        <f t="shared" si="3"/>
        <v>0</v>
      </c>
      <c r="T12" s="71">
        <f t="shared" si="4"/>
        <v>4.166666666666663E-2</v>
      </c>
      <c r="U12" s="71">
        <f t="shared" si="5"/>
        <v>0</v>
      </c>
      <c r="V12" s="71">
        <f t="shared" si="6"/>
        <v>0</v>
      </c>
      <c r="W12" s="71">
        <f t="shared" si="11"/>
        <v>4.166666666666663E-2</v>
      </c>
      <c r="X12" s="56"/>
      <c r="Y12" s="85">
        <f t="shared" si="12"/>
        <v>46086</v>
      </c>
      <c r="AA12" s="42"/>
      <c r="AE12" s="134" t="str">
        <f>初期条件設定表!U6</f>
        <v>設計</v>
      </c>
      <c r="AF12" s="163" t="str">
        <f>初期条件設定表!V6</f>
        <v>要件定義</v>
      </c>
    </row>
    <row r="13" spans="1:42" ht="45.9" customHeight="1">
      <c r="A13" s="85">
        <f t="shared" si="7"/>
        <v>46087</v>
      </c>
      <c r="B13" s="275">
        <v>0.70833333333333337</v>
      </c>
      <c r="C13" s="285" t="s">
        <v>24</v>
      </c>
      <c r="D13" s="277">
        <v>0.75</v>
      </c>
      <c r="E13" s="87">
        <f>IFERROR(HOUR(Q13),"")</f>
        <v>1</v>
      </c>
      <c r="F13" s="88" t="s">
        <v>28</v>
      </c>
      <c r="G13" s="89">
        <f>IFERROR(MINUTE(Q13),"")</f>
        <v>0</v>
      </c>
      <c r="H13" s="135" t="s">
        <v>29</v>
      </c>
      <c r="I13" s="137">
        <f t="shared" si="8"/>
        <v>0</v>
      </c>
      <c r="J13" s="140"/>
      <c r="K13" s="90">
        <f t="shared" si="9"/>
        <v>4660</v>
      </c>
      <c r="L13" s="156" t="s">
        <v>0</v>
      </c>
      <c r="M13" s="282" t="s">
        <v>152</v>
      </c>
      <c r="N13" s="283" t="s">
        <v>191</v>
      </c>
      <c r="O13" s="69">
        <f t="shared" si="0"/>
        <v>4.166666666666663E-2</v>
      </c>
      <c r="P13" s="69">
        <f t="shared" si="1"/>
        <v>4.166666666666663E-2</v>
      </c>
      <c r="Q13" s="70">
        <f t="shared" si="2"/>
        <v>4.1666666666666664E-2</v>
      </c>
      <c r="R13" s="71">
        <f t="shared" si="10"/>
        <v>0</v>
      </c>
      <c r="S13" s="71">
        <f t="shared" si="3"/>
        <v>0</v>
      </c>
      <c r="T13" s="71">
        <f t="shared" si="4"/>
        <v>0</v>
      </c>
      <c r="U13" s="71">
        <f t="shared" si="5"/>
        <v>0</v>
      </c>
      <c r="V13" s="71">
        <f t="shared" si="6"/>
        <v>0</v>
      </c>
      <c r="W13" s="71">
        <f t="shared" si="11"/>
        <v>0</v>
      </c>
      <c r="X13" s="71">
        <f t="shared" ref="X13:X35" si="13">IF(OR(DBCS($B13)="：",$B13="",DBCS($D13)="：",$D13=""),"",MAX(MIN($D13,$AG$3)-MAX($B13,$AF$3),0))</f>
        <v>0</v>
      </c>
      <c r="Y13" s="85">
        <f t="shared" si="12"/>
        <v>46087</v>
      </c>
      <c r="Z13" s="41">
        <f t="shared" ref="Z13:Z33" si="14">IF(OR(DBCS($B13)="：",$B13="",DBCS($D13)="：",$D13=""),"",MAX(MIN($D13,TIME(23,59,59))-MAX($B13,$AG$1),0))</f>
        <v>0</v>
      </c>
      <c r="AA13" s="42"/>
      <c r="AE13" s="134" t="str">
        <f>初期条件設定表!U7</f>
        <v>要件定義</v>
      </c>
      <c r="AF13" s="163" t="str">
        <f>初期条件設定表!V7</f>
        <v>運用テスト</v>
      </c>
    </row>
    <row r="14" spans="1:42" ht="45.9" customHeight="1">
      <c r="A14" s="85">
        <f t="shared" si="7"/>
        <v>46090</v>
      </c>
      <c r="B14" s="275">
        <v>0.70833333333333337</v>
      </c>
      <c r="C14" s="285" t="s">
        <v>24</v>
      </c>
      <c r="D14" s="277">
        <v>0.75</v>
      </c>
      <c r="E14" s="87">
        <f t="shared" ref="E14:E35" si="15">IFERROR(HOUR(Q14),"")</f>
        <v>1</v>
      </c>
      <c r="F14" s="88" t="s">
        <v>28</v>
      </c>
      <c r="G14" s="89">
        <f t="shared" ref="G14:G35" si="16">IFERROR(MINUTE(Q14),"")</f>
        <v>0</v>
      </c>
      <c r="H14" s="135" t="s">
        <v>29</v>
      </c>
      <c r="I14" s="137">
        <f t="shared" si="8"/>
        <v>0</v>
      </c>
      <c r="J14" s="140"/>
      <c r="K14" s="90">
        <f t="shared" si="9"/>
        <v>4660</v>
      </c>
      <c r="L14" s="156" t="s">
        <v>0</v>
      </c>
      <c r="M14" s="282" t="s">
        <v>152</v>
      </c>
      <c r="N14" s="283" t="s">
        <v>191</v>
      </c>
      <c r="O14" s="69">
        <f t="shared" si="0"/>
        <v>4.166666666666663E-2</v>
      </c>
      <c r="P14" s="69">
        <f t="shared" si="1"/>
        <v>4.166666666666663E-2</v>
      </c>
      <c r="Q14" s="70">
        <f t="shared" si="2"/>
        <v>4.1666666666666664E-2</v>
      </c>
      <c r="R14" s="71">
        <f t="shared" si="10"/>
        <v>0</v>
      </c>
      <c r="S14" s="71">
        <f t="shared" si="3"/>
        <v>0</v>
      </c>
      <c r="T14" s="71">
        <f t="shared" si="4"/>
        <v>0</v>
      </c>
      <c r="U14" s="71">
        <f t="shared" si="5"/>
        <v>0</v>
      </c>
      <c r="V14" s="71">
        <f t="shared" si="6"/>
        <v>0</v>
      </c>
      <c r="W14" s="71">
        <f t="shared" si="11"/>
        <v>0</v>
      </c>
      <c r="X14" s="71">
        <f t="shared" si="13"/>
        <v>0</v>
      </c>
      <c r="Y14" s="85">
        <f t="shared" si="12"/>
        <v>46090</v>
      </c>
      <c r="Z14" s="41">
        <f t="shared" si="14"/>
        <v>0</v>
      </c>
      <c r="AA14" s="42"/>
      <c r="AE14" s="134" t="str">
        <f>初期条件設定表!U8</f>
        <v>目標仕様</v>
      </c>
      <c r="AF14" s="163" t="str">
        <f>初期条件設定表!V8</f>
        <v>システム要件定義</v>
      </c>
    </row>
    <row r="15" spans="1:42" ht="45.9" customHeight="1">
      <c r="A15" s="85">
        <f t="shared" si="7"/>
        <v>46091</v>
      </c>
      <c r="B15" s="275">
        <v>0.70833333333333337</v>
      </c>
      <c r="C15" s="285" t="s">
        <v>24</v>
      </c>
      <c r="D15" s="277">
        <v>0.75</v>
      </c>
      <c r="E15" s="87">
        <f t="shared" si="15"/>
        <v>1</v>
      </c>
      <c r="F15" s="88" t="s">
        <v>28</v>
      </c>
      <c r="G15" s="89">
        <f t="shared" si="16"/>
        <v>0</v>
      </c>
      <c r="H15" s="135" t="s">
        <v>29</v>
      </c>
      <c r="I15" s="137">
        <f t="shared" si="8"/>
        <v>0</v>
      </c>
      <c r="J15" s="140"/>
      <c r="K15" s="90">
        <f t="shared" si="9"/>
        <v>4660</v>
      </c>
      <c r="L15" s="156" t="s">
        <v>0</v>
      </c>
      <c r="M15" s="282" t="s">
        <v>152</v>
      </c>
      <c r="N15" s="283" t="s">
        <v>191</v>
      </c>
      <c r="O15" s="69">
        <f t="shared" si="0"/>
        <v>4.166666666666663E-2</v>
      </c>
      <c r="P15" s="69">
        <f t="shared" si="1"/>
        <v>4.166666666666663E-2</v>
      </c>
      <c r="Q15" s="70">
        <f t="shared" si="2"/>
        <v>4.1666666666666664E-2</v>
      </c>
      <c r="R15" s="71">
        <f t="shared" si="10"/>
        <v>0</v>
      </c>
      <c r="S15" s="71">
        <f t="shared" si="3"/>
        <v>0</v>
      </c>
      <c r="T15" s="71">
        <f t="shared" si="4"/>
        <v>0</v>
      </c>
      <c r="U15" s="71">
        <f t="shared" si="5"/>
        <v>0</v>
      </c>
      <c r="V15" s="71">
        <f t="shared" si="6"/>
        <v>0</v>
      </c>
      <c r="W15" s="71">
        <f t="shared" si="11"/>
        <v>0</v>
      </c>
      <c r="X15" s="71">
        <f t="shared" si="13"/>
        <v>0</v>
      </c>
      <c r="Y15" s="85">
        <f t="shared" si="12"/>
        <v>46091</v>
      </c>
      <c r="Z15" s="41">
        <f t="shared" si="14"/>
        <v>0</v>
      </c>
      <c r="AA15" s="42"/>
      <c r="AE15" s="134" t="str">
        <f>初期条件設定表!U9</f>
        <v>プログラミング</v>
      </c>
      <c r="AF15" s="163" t="str">
        <f>初期条件設定表!V9</f>
        <v>システムテスト</v>
      </c>
    </row>
    <row r="16" spans="1:42" ht="45.9" customHeight="1">
      <c r="A16" s="85">
        <f t="shared" si="7"/>
        <v>46092</v>
      </c>
      <c r="B16" s="98" t="s">
        <v>30</v>
      </c>
      <c r="C16" s="86" t="s">
        <v>3</v>
      </c>
      <c r="D16" s="101" t="s">
        <v>30</v>
      </c>
      <c r="E16" s="87" t="str">
        <f t="shared" si="15"/>
        <v/>
      </c>
      <c r="F16" s="88" t="s">
        <v>28</v>
      </c>
      <c r="G16" s="89" t="str">
        <f t="shared" si="16"/>
        <v/>
      </c>
      <c r="H16" s="135" t="s">
        <v>29</v>
      </c>
      <c r="I16" s="137" t="str">
        <f t="shared" si="8"/>
        <v/>
      </c>
      <c r="J16" s="140"/>
      <c r="K16" s="90" t="str">
        <f t="shared" si="9"/>
        <v/>
      </c>
      <c r="L16" s="156" t="s">
        <v>0</v>
      </c>
      <c r="M16" s="159"/>
      <c r="N16" s="160"/>
      <c r="O16" s="69" t="str">
        <f t="shared" si="0"/>
        <v/>
      </c>
      <c r="P16" s="69" t="str">
        <f t="shared" si="1"/>
        <v/>
      </c>
      <c r="Q16" s="70" t="str">
        <f t="shared" si="2"/>
        <v/>
      </c>
      <c r="R16" s="71" t="str">
        <f t="shared" si="10"/>
        <v/>
      </c>
      <c r="S16" s="71" t="str">
        <f t="shared" si="3"/>
        <v/>
      </c>
      <c r="T16" s="71" t="str">
        <f t="shared" si="4"/>
        <v/>
      </c>
      <c r="U16" s="71" t="str">
        <f t="shared" si="5"/>
        <v/>
      </c>
      <c r="V16" s="71" t="str">
        <f t="shared" si="6"/>
        <v/>
      </c>
      <c r="W16" s="71" t="str">
        <f t="shared" si="11"/>
        <v/>
      </c>
      <c r="X16" s="71" t="str">
        <f t="shared" si="13"/>
        <v/>
      </c>
      <c r="Y16" s="85">
        <f t="shared" si="12"/>
        <v>46092</v>
      </c>
      <c r="Z16" s="41" t="str">
        <f t="shared" si="14"/>
        <v/>
      </c>
      <c r="AA16" s="42"/>
      <c r="AE16" s="134" t="str">
        <f>初期条件設定表!U10</f>
        <v>試作</v>
      </c>
      <c r="AF16" s="163" t="str">
        <f>初期条件設定表!V10</f>
        <v>システム方式設計</v>
      </c>
    </row>
    <row r="17" spans="1:32" ht="45.9" customHeight="1">
      <c r="A17" s="85">
        <f t="shared" si="7"/>
        <v>46093</v>
      </c>
      <c r="B17" s="98" t="s">
        <v>30</v>
      </c>
      <c r="C17" s="86" t="s">
        <v>3</v>
      </c>
      <c r="D17" s="101" t="s">
        <v>30</v>
      </c>
      <c r="E17" s="87" t="str">
        <f t="shared" si="15"/>
        <v/>
      </c>
      <c r="F17" s="88" t="s">
        <v>28</v>
      </c>
      <c r="G17" s="89" t="str">
        <f t="shared" si="16"/>
        <v/>
      </c>
      <c r="H17" s="135" t="s">
        <v>29</v>
      </c>
      <c r="I17" s="137" t="str">
        <f t="shared" si="8"/>
        <v/>
      </c>
      <c r="J17" s="140"/>
      <c r="K17" s="90" t="str">
        <f t="shared" si="9"/>
        <v/>
      </c>
      <c r="L17" s="156" t="s">
        <v>0</v>
      </c>
      <c r="M17" s="159"/>
      <c r="N17" s="160"/>
      <c r="O17" s="69" t="str">
        <f t="shared" si="0"/>
        <v/>
      </c>
      <c r="P17" s="69" t="str">
        <f t="shared" si="1"/>
        <v/>
      </c>
      <c r="Q17" s="70" t="str">
        <f t="shared" si="2"/>
        <v/>
      </c>
      <c r="R17" s="71" t="str">
        <f t="shared" si="10"/>
        <v/>
      </c>
      <c r="S17" s="71" t="str">
        <f t="shared" si="3"/>
        <v/>
      </c>
      <c r="T17" s="71" t="str">
        <f t="shared" si="4"/>
        <v/>
      </c>
      <c r="U17" s="71" t="str">
        <f t="shared" si="5"/>
        <v/>
      </c>
      <c r="V17" s="71" t="str">
        <f t="shared" si="6"/>
        <v/>
      </c>
      <c r="W17" s="71" t="str">
        <f t="shared" si="11"/>
        <v/>
      </c>
      <c r="X17" s="71" t="str">
        <f t="shared" si="13"/>
        <v/>
      </c>
      <c r="Y17" s="85">
        <f t="shared" si="12"/>
        <v>46093</v>
      </c>
      <c r="Z17" s="41" t="str">
        <f t="shared" si="14"/>
        <v/>
      </c>
      <c r="AA17" s="42"/>
      <c r="AE17" s="134" t="str">
        <f>初期条件設定表!U11</f>
        <v>単体テスト</v>
      </c>
      <c r="AF17" s="163" t="str">
        <f>初期条件設定表!V11</f>
        <v>システム結合</v>
      </c>
    </row>
    <row r="18" spans="1:32" ht="45.9" customHeight="1">
      <c r="A18" s="85">
        <f t="shared" si="7"/>
        <v>46094</v>
      </c>
      <c r="B18" s="98" t="s">
        <v>30</v>
      </c>
      <c r="C18" s="86" t="s">
        <v>3</v>
      </c>
      <c r="D18" s="101" t="s">
        <v>30</v>
      </c>
      <c r="E18" s="87" t="str">
        <f t="shared" si="15"/>
        <v/>
      </c>
      <c r="F18" s="88" t="s">
        <v>28</v>
      </c>
      <c r="G18" s="89" t="str">
        <f t="shared" si="16"/>
        <v/>
      </c>
      <c r="H18" s="135" t="s">
        <v>29</v>
      </c>
      <c r="I18" s="137" t="str">
        <f t="shared" si="8"/>
        <v/>
      </c>
      <c r="J18" s="140"/>
      <c r="K18" s="90" t="str">
        <f t="shared" si="9"/>
        <v/>
      </c>
      <c r="L18" s="156" t="s">
        <v>0</v>
      </c>
      <c r="M18" s="159"/>
      <c r="N18" s="160"/>
      <c r="O18" s="69" t="str">
        <f t="shared" si="0"/>
        <v/>
      </c>
      <c r="P18" s="69" t="str">
        <f t="shared" si="1"/>
        <v/>
      </c>
      <c r="Q18" s="70" t="str">
        <f t="shared" si="2"/>
        <v/>
      </c>
      <c r="R18" s="71" t="str">
        <f t="shared" si="10"/>
        <v/>
      </c>
      <c r="S18" s="71" t="str">
        <f t="shared" si="3"/>
        <v/>
      </c>
      <c r="T18" s="71" t="str">
        <f t="shared" si="4"/>
        <v/>
      </c>
      <c r="U18" s="71" t="str">
        <f t="shared" si="5"/>
        <v/>
      </c>
      <c r="V18" s="71" t="str">
        <f t="shared" si="6"/>
        <v/>
      </c>
      <c r="W18" s="71" t="str">
        <f t="shared" si="11"/>
        <v/>
      </c>
      <c r="X18" s="71" t="str">
        <f t="shared" si="13"/>
        <v/>
      </c>
      <c r="Y18" s="85">
        <f t="shared" si="12"/>
        <v>46094</v>
      </c>
      <c r="Z18" s="41" t="str">
        <f t="shared" si="14"/>
        <v/>
      </c>
      <c r="AA18" s="42"/>
      <c r="AE18" s="134" t="str">
        <f>初期条件設定表!U12</f>
        <v>総合テスト</v>
      </c>
      <c r="AF18" s="163" t="str">
        <f>初期条件設定表!V12</f>
        <v>ソフトウェア設計</v>
      </c>
    </row>
    <row r="19" spans="1:32" ht="45.9" customHeight="1">
      <c r="A19" s="85">
        <f t="shared" si="7"/>
        <v>46097</v>
      </c>
      <c r="B19" s="98" t="s">
        <v>30</v>
      </c>
      <c r="C19" s="86" t="s">
        <v>3</v>
      </c>
      <c r="D19" s="101" t="s">
        <v>30</v>
      </c>
      <c r="E19" s="87" t="str">
        <f t="shared" si="15"/>
        <v/>
      </c>
      <c r="F19" s="88" t="s">
        <v>28</v>
      </c>
      <c r="G19" s="89" t="str">
        <f t="shared" si="16"/>
        <v/>
      </c>
      <c r="H19" s="135" t="s">
        <v>29</v>
      </c>
      <c r="I19" s="137" t="str">
        <f t="shared" si="8"/>
        <v/>
      </c>
      <c r="J19" s="140"/>
      <c r="K19" s="90" t="str">
        <f t="shared" si="9"/>
        <v/>
      </c>
      <c r="L19" s="156" t="s">
        <v>0</v>
      </c>
      <c r="M19" s="159"/>
      <c r="N19" s="160"/>
      <c r="O19" s="69" t="str">
        <f t="shared" si="0"/>
        <v/>
      </c>
      <c r="P19" s="69" t="str">
        <f t="shared" si="1"/>
        <v/>
      </c>
      <c r="Q19" s="70" t="str">
        <f t="shared" si="2"/>
        <v/>
      </c>
      <c r="R19" s="71" t="str">
        <f t="shared" si="10"/>
        <v/>
      </c>
      <c r="S19" s="71" t="str">
        <f t="shared" si="3"/>
        <v/>
      </c>
      <c r="T19" s="71" t="str">
        <f t="shared" si="4"/>
        <v/>
      </c>
      <c r="U19" s="71" t="str">
        <f t="shared" si="5"/>
        <v/>
      </c>
      <c r="V19" s="71" t="str">
        <f t="shared" si="6"/>
        <v/>
      </c>
      <c r="W19" s="71" t="str">
        <f t="shared" si="11"/>
        <v/>
      </c>
      <c r="X19" s="71" t="str">
        <f t="shared" si="13"/>
        <v/>
      </c>
      <c r="Y19" s="85">
        <f t="shared" si="12"/>
        <v>46097</v>
      </c>
      <c r="Z19" s="41" t="str">
        <f t="shared" si="14"/>
        <v/>
      </c>
      <c r="AA19" s="42"/>
      <c r="AE19" s="134" t="str">
        <f>初期条件設定表!U13</f>
        <v xml:space="preserve"> </v>
      </c>
      <c r="AF19" s="163" t="str">
        <f>初期条件設定表!V13</f>
        <v>ソフトウェアテスト</v>
      </c>
    </row>
    <row r="20" spans="1:32" ht="45.9" customHeight="1">
      <c r="A20" s="85">
        <f t="shared" si="7"/>
        <v>46098</v>
      </c>
      <c r="B20" s="98" t="s">
        <v>30</v>
      </c>
      <c r="C20" s="86" t="s">
        <v>3</v>
      </c>
      <c r="D20" s="101" t="s">
        <v>30</v>
      </c>
      <c r="E20" s="87" t="str">
        <f t="shared" si="15"/>
        <v/>
      </c>
      <c r="F20" s="88" t="s">
        <v>28</v>
      </c>
      <c r="G20" s="89" t="str">
        <f t="shared" si="16"/>
        <v/>
      </c>
      <c r="H20" s="135" t="s">
        <v>29</v>
      </c>
      <c r="I20" s="137" t="str">
        <f t="shared" si="8"/>
        <v/>
      </c>
      <c r="J20" s="140"/>
      <c r="K20" s="90" t="str">
        <f t="shared" si="9"/>
        <v/>
      </c>
      <c r="L20" s="156" t="s">
        <v>0</v>
      </c>
      <c r="M20" s="159"/>
      <c r="N20" s="160"/>
      <c r="O20" s="69" t="str">
        <f t="shared" si="0"/>
        <v/>
      </c>
      <c r="P20" s="69" t="str">
        <f t="shared" si="1"/>
        <v/>
      </c>
      <c r="Q20" s="70" t="str">
        <f t="shared" si="2"/>
        <v/>
      </c>
      <c r="R20" s="71" t="str">
        <f t="shared" si="10"/>
        <v/>
      </c>
      <c r="S20" s="71" t="str">
        <f t="shared" si="3"/>
        <v/>
      </c>
      <c r="T20" s="71" t="str">
        <f t="shared" si="4"/>
        <v/>
      </c>
      <c r="U20" s="71" t="str">
        <f t="shared" si="5"/>
        <v/>
      </c>
      <c r="V20" s="71" t="str">
        <f t="shared" si="6"/>
        <v/>
      </c>
      <c r="W20" s="71" t="str">
        <f t="shared" si="11"/>
        <v/>
      </c>
      <c r="X20" s="71" t="str">
        <f t="shared" si="13"/>
        <v/>
      </c>
      <c r="Y20" s="85">
        <f t="shared" si="12"/>
        <v>46098</v>
      </c>
      <c r="Z20" s="41" t="str">
        <f t="shared" si="14"/>
        <v/>
      </c>
      <c r="AA20" s="42"/>
      <c r="AE20" s="134" t="str">
        <f>初期条件設定表!U14</f>
        <v xml:space="preserve"> </v>
      </c>
      <c r="AF20" s="163" t="str">
        <f>初期条件設定表!V14</f>
        <v>プログラミング</v>
      </c>
    </row>
    <row r="21" spans="1:32" ht="45.9" customHeight="1">
      <c r="A21" s="85">
        <f t="shared" si="7"/>
        <v>46099</v>
      </c>
      <c r="B21" s="98" t="s">
        <v>30</v>
      </c>
      <c r="C21" s="86" t="s">
        <v>3</v>
      </c>
      <c r="D21" s="101" t="s">
        <v>30</v>
      </c>
      <c r="E21" s="87" t="str">
        <f t="shared" si="15"/>
        <v/>
      </c>
      <c r="F21" s="88" t="s">
        <v>28</v>
      </c>
      <c r="G21" s="89" t="str">
        <f t="shared" si="16"/>
        <v/>
      </c>
      <c r="H21" s="135" t="s">
        <v>29</v>
      </c>
      <c r="I21" s="137" t="str">
        <f t="shared" si="8"/>
        <v/>
      </c>
      <c r="J21" s="140"/>
      <c r="K21" s="90" t="str">
        <f t="shared" si="9"/>
        <v/>
      </c>
      <c r="L21" s="156" t="s">
        <v>0</v>
      </c>
      <c r="M21" s="159"/>
      <c r="N21" s="160"/>
      <c r="O21" s="69" t="str">
        <f t="shared" si="0"/>
        <v/>
      </c>
      <c r="P21" s="69" t="str">
        <f t="shared" si="1"/>
        <v/>
      </c>
      <c r="Q21" s="70" t="str">
        <f t="shared" si="2"/>
        <v/>
      </c>
      <c r="R21" s="71" t="str">
        <f t="shared" si="10"/>
        <v/>
      </c>
      <c r="S21" s="71" t="str">
        <f t="shared" si="3"/>
        <v/>
      </c>
      <c r="T21" s="71" t="str">
        <f t="shared" si="4"/>
        <v/>
      </c>
      <c r="U21" s="71" t="str">
        <f t="shared" si="5"/>
        <v/>
      </c>
      <c r="V21" s="71" t="str">
        <f t="shared" si="6"/>
        <v/>
      </c>
      <c r="W21" s="71" t="str">
        <f t="shared" si="11"/>
        <v/>
      </c>
      <c r="X21" s="71" t="str">
        <f t="shared" si="13"/>
        <v/>
      </c>
      <c r="Y21" s="85">
        <f t="shared" si="12"/>
        <v>46099</v>
      </c>
      <c r="Z21" s="41" t="str">
        <f t="shared" si="14"/>
        <v/>
      </c>
      <c r="AA21" s="42"/>
      <c r="AE21" s="134" t="str">
        <f>初期条件設定表!U15</f>
        <v xml:space="preserve"> </v>
      </c>
      <c r="AF21" s="163" t="str">
        <f>初期条件設定表!V15</f>
        <v>デバッグ</v>
      </c>
    </row>
    <row r="22" spans="1:32" ht="45.9" customHeight="1">
      <c r="A22" s="85">
        <f t="shared" si="7"/>
        <v>46100</v>
      </c>
      <c r="B22" s="275">
        <v>0.6875</v>
      </c>
      <c r="C22" s="285" t="s">
        <v>24</v>
      </c>
      <c r="D22" s="277">
        <v>0.75</v>
      </c>
      <c r="E22" s="87">
        <f t="shared" si="15"/>
        <v>1</v>
      </c>
      <c r="F22" s="88" t="s">
        <v>28</v>
      </c>
      <c r="G22" s="89">
        <f t="shared" si="16"/>
        <v>30</v>
      </c>
      <c r="H22" s="135" t="s">
        <v>29</v>
      </c>
      <c r="I22" s="137">
        <f t="shared" si="8"/>
        <v>0</v>
      </c>
      <c r="J22" s="140"/>
      <c r="K22" s="90">
        <f t="shared" si="9"/>
        <v>6990</v>
      </c>
      <c r="L22" s="156" t="s">
        <v>0</v>
      </c>
      <c r="M22" s="282" t="s">
        <v>152</v>
      </c>
      <c r="N22" s="283" t="s">
        <v>191</v>
      </c>
      <c r="O22" s="69">
        <f t="shared" si="0"/>
        <v>6.25E-2</v>
      </c>
      <c r="P22" s="69">
        <f t="shared" si="1"/>
        <v>6.25E-2</v>
      </c>
      <c r="Q22" s="70">
        <f t="shared" si="2"/>
        <v>6.25E-2</v>
      </c>
      <c r="R22" s="71">
        <f t="shared" si="10"/>
        <v>0</v>
      </c>
      <c r="S22" s="71">
        <f t="shared" si="3"/>
        <v>0</v>
      </c>
      <c r="T22" s="71">
        <f t="shared" si="4"/>
        <v>0</v>
      </c>
      <c r="U22" s="71">
        <f t="shared" si="5"/>
        <v>0</v>
      </c>
      <c r="V22" s="71">
        <f t="shared" si="6"/>
        <v>0</v>
      </c>
      <c r="W22" s="71">
        <f t="shared" si="11"/>
        <v>0</v>
      </c>
      <c r="X22" s="71">
        <f t="shared" si="13"/>
        <v>0</v>
      </c>
      <c r="Y22" s="85">
        <f t="shared" si="12"/>
        <v>46100</v>
      </c>
      <c r="Z22" s="41">
        <f t="shared" si="14"/>
        <v>0</v>
      </c>
      <c r="AA22" s="42"/>
      <c r="AE22" s="134" t="str">
        <f>初期条件設定表!U16</f>
        <v xml:space="preserve"> </v>
      </c>
      <c r="AF22" s="163" t="str">
        <f>初期条件設定表!V16</f>
        <v>要求仕様書作成</v>
      </c>
    </row>
    <row r="23" spans="1:32" ht="45.9" customHeight="1">
      <c r="A23" s="85">
        <f t="shared" si="7"/>
        <v>46101</v>
      </c>
      <c r="B23" s="275">
        <v>0.6875</v>
      </c>
      <c r="C23" s="285" t="s">
        <v>24</v>
      </c>
      <c r="D23" s="277">
        <v>0.75</v>
      </c>
      <c r="E23" s="87">
        <f t="shared" si="15"/>
        <v>1</v>
      </c>
      <c r="F23" s="88" t="s">
        <v>28</v>
      </c>
      <c r="G23" s="89">
        <f t="shared" si="16"/>
        <v>30</v>
      </c>
      <c r="H23" s="135" t="s">
        <v>29</v>
      </c>
      <c r="I23" s="137">
        <f t="shared" si="8"/>
        <v>0</v>
      </c>
      <c r="J23" s="140"/>
      <c r="K23" s="90">
        <f t="shared" si="9"/>
        <v>6990</v>
      </c>
      <c r="L23" s="156" t="s">
        <v>0</v>
      </c>
      <c r="M23" s="282" t="s">
        <v>152</v>
      </c>
      <c r="N23" s="283" t="s">
        <v>191</v>
      </c>
      <c r="O23" s="69">
        <f t="shared" si="0"/>
        <v>6.25E-2</v>
      </c>
      <c r="P23" s="69">
        <f t="shared" si="1"/>
        <v>6.25E-2</v>
      </c>
      <c r="Q23" s="70">
        <f t="shared" si="2"/>
        <v>6.25E-2</v>
      </c>
      <c r="R23" s="71">
        <f t="shared" si="10"/>
        <v>0</v>
      </c>
      <c r="S23" s="71">
        <f t="shared" si="3"/>
        <v>0</v>
      </c>
      <c r="T23" s="71">
        <f t="shared" si="4"/>
        <v>0</v>
      </c>
      <c r="U23" s="71">
        <f t="shared" si="5"/>
        <v>0</v>
      </c>
      <c r="V23" s="71">
        <f t="shared" si="6"/>
        <v>0</v>
      </c>
      <c r="W23" s="71">
        <f t="shared" si="11"/>
        <v>0</v>
      </c>
      <c r="X23" s="71">
        <f t="shared" si="13"/>
        <v>0</v>
      </c>
      <c r="Y23" s="85">
        <f t="shared" si="12"/>
        <v>46101</v>
      </c>
      <c r="Z23" s="41">
        <f t="shared" si="14"/>
        <v>0</v>
      </c>
      <c r="AA23" s="42"/>
      <c r="AE23" s="134" t="str">
        <f>初期条件設定表!U17</f>
        <v xml:space="preserve"> </v>
      </c>
      <c r="AF23" s="163" t="str">
        <f>初期条件設定表!V17</f>
        <v>製図</v>
      </c>
    </row>
    <row r="24" spans="1:32" ht="45.9" customHeight="1">
      <c r="A24" s="85">
        <f t="shared" si="7"/>
        <v>46104</v>
      </c>
      <c r="B24" s="275">
        <v>0.6875</v>
      </c>
      <c r="C24" s="285" t="s">
        <v>24</v>
      </c>
      <c r="D24" s="277">
        <v>0.75</v>
      </c>
      <c r="E24" s="87">
        <f t="shared" si="15"/>
        <v>1</v>
      </c>
      <c r="F24" s="88" t="s">
        <v>28</v>
      </c>
      <c r="G24" s="89">
        <f t="shared" si="16"/>
        <v>30</v>
      </c>
      <c r="H24" s="135" t="s">
        <v>29</v>
      </c>
      <c r="I24" s="137">
        <f t="shared" si="8"/>
        <v>0</v>
      </c>
      <c r="J24" s="140"/>
      <c r="K24" s="90">
        <f t="shared" si="9"/>
        <v>6990</v>
      </c>
      <c r="L24" s="156" t="s">
        <v>0</v>
      </c>
      <c r="M24" s="282" t="s">
        <v>152</v>
      </c>
      <c r="N24" s="283" t="s">
        <v>191</v>
      </c>
      <c r="O24" s="69">
        <f t="shared" si="0"/>
        <v>6.25E-2</v>
      </c>
      <c r="P24" s="69">
        <f t="shared" si="1"/>
        <v>6.25E-2</v>
      </c>
      <c r="Q24" s="70">
        <f t="shared" si="2"/>
        <v>6.25E-2</v>
      </c>
      <c r="R24" s="71">
        <f t="shared" si="10"/>
        <v>0</v>
      </c>
      <c r="S24" s="71">
        <f t="shared" si="3"/>
        <v>0</v>
      </c>
      <c r="T24" s="71">
        <f t="shared" si="4"/>
        <v>0</v>
      </c>
      <c r="U24" s="71">
        <f t="shared" si="5"/>
        <v>0</v>
      </c>
      <c r="V24" s="71">
        <f t="shared" si="6"/>
        <v>0</v>
      </c>
      <c r="W24" s="71">
        <f t="shared" si="11"/>
        <v>0</v>
      </c>
      <c r="X24" s="71">
        <f t="shared" si="13"/>
        <v>0</v>
      </c>
      <c r="Y24" s="85">
        <f t="shared" si="12"/>
        <v>46104</v>
      </c>
      <c r="Z24" s="41">
        <f t="shared" si="14"/>
        <v>0</v>
      </c>
      <c r="AA24" s="42"/>
      <c r="AE24" s="134" t="str">
        <f>初期条件設定表!U18</f>
        <v xml:space="preserve"> </v>
      </c>
      <c r="AF24" s="163" t="str">
        <f>初期条件設定表!V18</f>
        <v>シミュレーション</v>
      </c>
    </row>
    <row r="25" spans="1:32" ht="45.9" customHeight="1">
      <c r="A25" s="85">
        <f t="shared" si="7"/>
        <v>46105</v>
      </c>
      <c r="B25" s="275">
        <v>0.6875</v>
      </c>
      <c r="C25" s="285" t="s">
        <v>24</v>
      </c>
      <c r="D25" s="277">
        <v>0.75</v>
      </c>
      <c r="E25" s="87">
        <f t="shared" si="15"/>
        <v>1</v>
      </c>
      <c r="F25" s="88" t="s">
        <v>28</v>
      </c>
      <c r="G25" s="89">
        <f t="shared" si="16"/>
        <v>30</v>
      </c>
      <c r="H25" s="135" t="s">
        <v>29</v>
      </c>
      <c r="I25" s="137">
        <f t="shared" si="8"/>
        <v>0</v>
      </c>
      <c r="J25" s="140"/>
      <c r="K25" s="90">
        <f t="shared" si="9"/>
        <v>6990</v>
      </c>
      <c r="L25" s="156" t="s">
        <v>0</v>
      </c>
      <c r="M25" s="282" t="s">
        <v>152</v>
      </c>
      <c r="N25" s="283" t="s">
        <v>191</v>
      </c>
      <c r="O25" s="69">
        <f t="shared" si="0"/>
        <v>6.25E-2</v>
      </c>
      <c r="P25" s="69">
        <f t="shared" si="1"/>
        <v>6.25E-2</v>
      </c>
      <c r="Q25" s="70">
        <f t="shared" si="2"/>
        <v>6.25E-2</v>
      </c>
      <c r="R25" s="71">
        <f t="shared" si="10"/>
        <v>0</v>
      </c>
      <c r="S25" s="71">
        <f t="shared" si="3"/>
        <v>0</v>
      </c>
      <c r="T25" s="71">
        <f t="shared" si="4"/>
        <v>0</v>
      </c>
      <c r="U25" s="71">
        <f t="shared" si="5"/>
        <v>0</v>
      </c>
      <c r="V25" s="71">
        <f t="shared" si="6"/>
        <v>0</v>
      </c>
      <c r="W25" s="71">
        <f t="shared" si="11"/>
        <v>0</v>
      </c>
      <c r="X25" s="71">
        <f t="shared" si="13"/>
        <v>0</v>
      </c>
      <c r="Y25" s="85">
        <f t="shared" si="12"/>
        <v>46105</v>
      </c>
      <c r="Z25" s="41">
        <f t="shared" si="14"/>
        <v>0</v>
      </c>
      <c r="AA25" s="42"/>
      <c r="AE25" s="134" t="str">
        <f>初期条件設定表!U19</f>
        <v xml:space="preserve"> </v>
      </c>
      <c r="AF25" s="163" t="str">
        <f>初期条件設定表!V19</f>
        <v>製造・加工</v>
      </c>
    </row>
    <row r="26" spans="1:32" ht="45.9" customHeight="1">
      <c r="A26" s="85">
        <f t="shared" si="7"/>
        <v>46106</v>
      </c>
      <c r="B26" s="275">
        <v>0.6875</v>
      </c>
      <c r="C26" s="285" t="s">
        <v>24</v>
      </c>
      <c r="D26" s="277">
        <v>0.75</v>
      </c>
      <c r="E26" s="87">
        <f t="shared" si="15"/>
        <v>1</v>
      </c>
      <c r="F26" s="88" t="s">
        <v>28</v>
      </c>
      <c r="G26" s="89">
        <f t="shared" si="16"/>
        <v>30</v>
      </c>
      <c r="H26" s="135" t="s">
        <v>29</v>
      </c>
      <c r="I26" s="137">
        <f t="shared" si="8"/>
        <v>0</v>
      </c>
      <c r="J26" s="140"/>
      <c r="K26" s="90">
        <f t="shared" si="9"/>
        <v>6990</v>
      </c>
      <c r="L26" s="156" t="s">
        <v>0</v>
      </c>
      <c r="M26" s="282" t="s">
        <v>152</v>
      </c>
      <c r="N26" s="283" t="s">
        <v>191</v>
      </c>
      <c r="O26" s="69">
        <f t="shared" si="0"/>
        <v>6.25E-2</v>
      </c>
      <c r="P26" s="69">
        <f t="shared" si="1"/>
        <v>6.25E-2</v>
      </c>
      <c r="Q26" s="70">
        <f t="shared" si="2"/>
        <v>6.25E-2</v>
      </c>
      <c r="R26" s="71">
        <f t="shared" si="10"/>
        <v>0</v>
      </c>
      <c r="S26" s="71">
        <f t="shared" si="3"/>
        <v>0</v>
      </c>
      <c r="T26" s="71">
        <f t="shared" si="4"/>
        <v>0</v>
      </c>
      <c r="U26" s="71">
        <f t="shared" si="5"/>
        <v>0</v>
      </c>
      <c r="V26" s="71">
        <f t="shared" si="6"/>
        <v>0</v>
      </c>
      <c r="W26" s="71">
        <f t="shared" si="11"/>
        <v>0</v>
      </c>
      <c r="X26" s="71">
        <f t="shared" si="13"/>
        <v>0</v>
      </c>
      <c r="Y26" s="85">
        <f t="shared" si="12"/>
        <v>46106</v>
      </c>
      <c r="Z26" s="41">
        <f t="shared" si="14"/>
        <v>0</v>
      </c>
      <c r="AA26" s="42"/>
      <c r="AE26" s="134" t="str">
        <f>初期条件設定表!U20</f>
        <v xml:space="preserve"> </v>
      </c>
      <c r="AF26" s="163" t="str">
        <f>初期条件設定表!V20</f>
        <v>組み立て</v>
      </c>
    </row>
    <row r="27" spans="1:32" ht="45.9" customHeight="1">
      <c r="A27" s="85">
        <f t="shared" si="7"/>
        <v>46107</v>
      </c>
      <c r="B27" s="98" t="s">
        <v>30</v>
      </c>
      <c r="C27" s="86" t="s">
        <v>3</v>
      </c>
      <c r="D27" s="101" t="s">
        <v>30</v>
      </c>
      <c r="E27" s="87" t="str">
        <f t="shared" si="15"/>
        <v/>
      </c>
      <c r="F27" s="88" t="s">
        <v>28</v>
      </c>
      <c r="G27" s="89" t="str">
        <f t="shared" si="16"/>
        <v/>
      </c>
      <c r="H27" s="135" t="s">
        <v>29</v>
      </c>
      <c r="I27" s="137" t="str">
        <f t="shared" si="8"/>
        <v/>
      </c>
      <c r="J27" s="140"/>
      <c r="K27" s="90" t="str">
        <f t="shared" si="9"/>
        <v/>
      </c>
      <c r="L27" s="156" t="s">
        <v>0</v>
      </c>
      <c r="M27" s="159"/>
      <c r="N27" s="160"/>
      <c r="O27" s="69" t="str">
        <f t="shared" si="0"/>
        <v/>
      </c>
      <c r="P27" s="69" t="str">
        <f t="shared" si="1"/>
        <v/>
      </c>
      <c r="Q27" s="70" t="str">
        <f t="shared" si="2"/>
        <v/>
      </c>
      <c r="R27" s="71" t="str">
        <f t="shared" si="10"/>
        <v/>
      </c>
      <c r="S27" s="71" t="str">
        <f t="shared" si="3"/>
        <v/>
      </c>
      <c r="T27" s="71" t="str">
        <f t="shared" si="4"/>
        <v/>
      </c>
      <c r="U27" s="71" t="str">
        <f t="shared" si="5"/>
        <v/>
      </c>
      <c r="V27" s="71" t="str">
        <f t="shared" si="6"/>
        <v/>
      </c>
      <c r="W27" s="71" t="str">
        <f t="shared" si="11"/>
        <v/>
      </c>
      <c r="X27" s="71" t="str">
        <f t="shared" si="13"/>
        <v/>
      </c>
      <c r="Y27" s="85">
        <f t="shared" si="12"/>
        <v>46107</v>
      </c>
      <c r="Z27" s="41" t="str">
        <f t="shared" si="14"/>
        <v/>
      </c>
      <c r="AA27" s="42"/>
      <c r="AE27" s="134" t="str">
        <f>初期条件設定表!U21</f>
        <v xml:space="preserve"> </v>
      </c>
      <c r="AF27" s="163" t="str">
        <f>初期条件設定表!V21</f>
        <v>動作・性能試験</v>
      </c>
    </row>
    <row r="28" spans="1:32" ht="45.9" customHeight="1">
      <c r="A28" s="85">
        <f t="shared" si="7"/>
        <v>46108</v>
      </c>
      <c r="B28" s="98" t="s">
        <v>30</v>
      </c>
      <c r="C28" s="86" t="s">
        <v>3</v>
      </c>
      <c r="D28" s="101" t="s">
        <v>30</v>
      </c>
      <c r="E28" s="87" t="str">
        <f t="shared" si="15"/>
        <v/>
      </c>
      <c r="F28" s="88" t="s">
        <v>28</v>
      </c>
      <c r="G28" s="89" t="str">
        <f t="shared" si="16"/>
        <v/>
      </c>
      <c r="H28" s="135" t="s">
        <v>29</v>
      </c>
      <c r="I28" s="137" t="str">
        <f t="shared" si="8"/>
        <v/>
      </c>
      <c r="J28" s="140"/>
      <c r="K28" s="90" t="str">
        <f t="shared" si="9"/>
        <v/>
      </c>
      <c r="L28" s="156" t="s">
        <v>0</v>
      </c>
      <c r="M28" s="159"/>
      <c r="N28" s="160"/>
      <c r="O28" s="69" t="str">
        <f t="shared" si="0"/>
        <v/>
      </c>
      <c r="P28" s="69" t="str">
        <f t="shared" si="1"/>
        <v/>
      </c>
      <c r="Q28" s="70" t="str">
        <f t="shared" si="2"/>
        <v/>
      </c>
      <c r="R28" s="71" t="str">
        <f t="shared" si="10"/>
        <v/>
      </c>
      <c r="S28" s="71" t="str">
        <f t="shared" si="3"/>
        <v/>
      </c>
      <c r="T28" s="71" t="str">
        <f t="shared" si="4"/>
        <v/>
      </c>
      <c r="U28" s="71" t="str">
        <f t="shared" si="5"/>
        <v/>
      </c>
      <c r="V28" s="71" t="str">
        <f t="shared" si="6"/>
        <v/>
      </c>
      <c r="W28" s="71" t="str">
        <f t="shared" si="11"/>
        <v/>
      </c>
      <c r="X28" s="71" t="str">
        <f t="shared" si="13"/>
        <v/>
      </c>
      <c r="Y28" s="85">
        <f t="shared" si="12"/>
        <v>46108</v>
      </c>
      <c r="Z28" s="41" t="str">
        <f t="shared" si="14"/>
        <v/>
      </c>
      <c r="AA28" s="42"/>
      <c r="AE28" s="134" t="str">
        <f>初期条件設定表!U22</f>
        <v xml:space="preserve"> </v>
      </c>
      <c r="AF28" s="163" t="str">
        <f>初期条件設定表!V22</f>
        <v>○○</v>
      </c>
    </row>
    <row r="29" spans="1:32" ht="45.9" customHeight="1">
      <c r="A29" s="85">
        <f t="shared" si="7"/>
        <v>46111</v>
      </c>
      <c r="B29" s="98" t="s">
        <v>30</v>
      </c>
      <c r="C29" s="86" t="s">
        <v>3</v>
      </c>
      <c r="D29" s="101" t="s">
        <v>30</v>
      </c>
      <c r="E29" s="87" t="str">
        <f t="shared" si="15"/>
        <v/>
      </c>
      <c r="F29" s="88" t="s">
        <v>28</v>
      </c>
      <c r="G29" s="89" t="str">
        <f t="shared" si="16"/>
        <v/>
      </c>
      <c r="H29" s="135" t="s">
        <v>29</v>
      </c>
      <c r="I29" s="137" t="str">
        <f t="shared" si="8"/>
        <v/>
      </c>
      <c r="J29" s="140"/>
      <c r="K29" s="90" t="str">
        <f t="shared" si="9"/>
        <v/>
      </c>
      <c r="L29" s="156" t="s">
        <v>0</v>
      </c>
      <c r="M29" s="159"/>
      <c r="N29" s="160"/>
      <c r="O29" s="69" t="str">
        <f t="shared" si="0"/>
        <v/>
      </c>
      <c r="P29" s="69" t="str">
        <f t="shared" si="1"/>
        <v/>
      </c>
      <c r="Q29" s="70" t="str">
        <f t="shared" si="2"/>
        <v/>
      </c>
      <c r="R29" s="71" t="str">
        <f t="shared" si="10"/>
        <v/>
      </c>
      <c r="S29" s="71" t="str">
        <f t="shared" si="3"/>
        <v/>
      </c>
      <c r="T29" s="71" t="str">
        <f t="shared" si="4"/>
        <v/>
      </c>
      <c r="U29" s="71" t="str">
        <f t="shared" si="5"/>
        <v/>
      </c>
      <c r="V29" s="71" t="str">
        <f t="shared" si="6"/>
        <v/>
      </c>
      <c r="W29" s="71" t="str">
        <f t="shared" si="11"/>
        <v/>
      </c>
      <c r="X29" s="71" t="str">
        <f t="shared" si="13"/>
        <v/>
      </c>
      <c r="Y29" s="85">
        <f t="shared" si="12"/>
        <v>46111</v>
      </c>
      <c r="Z29" s="41" t="str">
        <f t="shared" si="14"/>
        <v/>
      </c>
      <c r="AA29" s="42"/>
      <c r="AE29" s="134" t="str">
        <f>初期条件設定表!U23</f>
        <v xml:space="preserve"> </v>
      </c>
      <c r="AF29" s="163" t="str">
        <f>初期条件設定表!V23</f>
        <v>○○</v>
      </c>
    </row>
    <row r="30" spans="1:32" ht="45.9" customHeight="1">
      <c r="A30" s="85">
        <f t="shared" si="7"/>
        <v>46112</v>
      </c>
      <c r="B30" s="98" t="s">
        <v>30</v>
      </c>
      <c r="C30" s="86" t="s">
        <v>3</v>
      </c>
      <c r="D30" s="101" t="s">
        <v>30</v>
      </c>
      <c r="E30" s="87" t="str">
        <f t="shared" si="15"/>
        <v/>
      </c>
      <c r="F30" s="88" t="s">
        <v>28</v>
      </c>
      <c r="G30" s="89" t="str">
        <f t="shared" si="16"/>
        <v/>
      </c>
      <c r="H30" s="135" t="s">
        <v>29</v>
      </c>
      <c r="I30" s="137" t="str">
        <f t="shared" si="8"/>
        <v/>
      </c>
      <c r="J30" s="140"/>
      <c r="K30" s="90" t="str">
        <f t="shared" si="9"/>
        <v/>
      </c>
      <c r="L30" s="156" t="s">
        <v>0</v>
      </c>
      <c r="M30" s="159"/>
      <c r="N30" s="160"/>
      <c r="O30" s="69" t="str">
        <f t="shared" si="0"/>
        <v/>
      </c>
      <c r="P30" s="69" t="str">
        <f t="shared" si="1"/>
        <v/>
      </c>
      <c r="Q30" s="70" t="str">
        <f t="shared" si="2"/>
        <v/>
      </c>
      <c r="R30" s="71" t="str">
        <f t="shared" si="10"/>
        <v/>
      </c>
      <c r="S30" s="71" t="str">
        <f t="shared" si="3"/>
        <v/>
      </c>
      <c r="T30" s="71" t="str">
        <f t="shared" si="4"/>
        <v/>
      </c>
      <c r="U30" s="71" t="str">
        <f t="shared" si="5"/>
        <v/>
      </c>
      <c r="V30" s="71" t="str">
        <f t="shared" si="6"/>
        <v/>
      </c>
      <c r="W30" s="71" t="str">
        <f t="shared" si="11"/>
        <v/>
      </c>
      <c r="X30" s="71" t="str">
        <f t="shared" si="13"/>
        <v/>
      </c>
      <c r="Y30" s="85">
        <f t="shared" si="12"/>
        <v>46112</v>
      </c>
      <c r="Z30" s="41" t="str">
        <f t="shared" si="14"/>
        <v/>
      </c>
      <c r="AA30" s="42"/>
      <c r="AE30" s="134" t="str">
        <f>初期条件設定表!U24</f>
        <v xml:space="preserve"> </v>
      </c>
      <c r="AF30" s="163" t="str">
        <f>初期条件設定表!V24</f>
        <v>○○</v>
      </c>
    </row>
    <row r="31" spans="1:32" ht="45.9" customHeight="1">
      <c r="A31" s="85" t="str">
        <f t="shared" si="7"/>
        <v/>
      </c>
      <c r="B31" s="99" t="s">
        <v>30</v>
      </c>
      <c r="C31" s="91" t="s">
        <v>3</v>
      </c>
      <c r="D31" s="102" t="s">
        <v>30</v>
      </c>
      <c r="E31" s="87" t="str">
        <f t="shared" si="15"/>
        <v/>
      </c>
      <c r="F31" s="88" t="s">
        <v>28</v>
      </c>
      <c r="G31" s="89" t="str">
        <f t="shared" si="16"/>
        <v/>
      </c>
      <c r="H31" s="135" t="s">
        <v>29</v>
      </c>
      <c r="I31" s="137" t="str">
        <f t="shared" si="8"/>
        <v/>
      </c>
      <c r="J31" s="140"/>
      <c r="K31" s="90" t="str">
        <f t="shared" si="9"/>
        <v/>
      </c>
      <c r="L31" s="156" t="s">
        <v>0</v>
      </c>
      <c r="M31" s="159"/>
      <c r="N31" s="160"/>
      <c r="O31" s="69" t="str">
        <f t="shared" si="0"/>
        <v/>
      </c>
      <c r="P31" s="69" t="str">
        <f t="shared" si="1"/>
        <v/>
      </c>
      <c r="Q31" s="70" t="str">
        <f t="shared" si="2"/>
        <v/>
      </c>
      <c r="R31" s="71" t="str">
        <f t="shared" si="10"/>
        <v/>
      </c>
      <c r="S31" s="71" t="str">
        <f t="shared" si="3"/>
        <v/>
      </c>
      <c r="T31" s="71" t="str">
        <f t="shared" si="4"/>
        <v/>
      </c>
      <c r="U31" s="71" t="str">
        <f t="shared" si="5"/>
        <v/>
      </c>
      <c r="V31" s="71" t="str">
        <f t="shared" si="6"/>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7"/>
        <v/>
      </c>
      <c r="B32" s="98" t="s">
        <v>30</v>
      </c>
      <c r="C32" s="86" t="s">
        <v>3</v>
      </c>
      <c r="D32" s="101" t="s">
        <v>30</v>
      </c>
      <c r="E32" s="87" t="str">
        <f t="shared" si="15"/>
        <v/>
      </c>
      <c r="F32" s="88" t="s">
        <v>28</v>
      </c>
      <c r="G32" s="89" t="str">
        <f t="shared" si="16"/>
        <v/>
      </c>
      <c r="H32" s="135" t="s">
        <v>29</v>
      </c>
      <c r="I32" s="137" t="str">
        <f t="shared" si="8"/>
        <v/>
      </c>
      <c r="J32" s="140"/>
      <c r="K32" s="90" t="str">
        <f t="shared" si="9"/>
        <v/>
      </c>
      <c r="L32" s="156" t="s">
        <v>0</v>
      </c>
      <c r="M32" s="159"/>
      <c r="N32" s="165"/>
      <c r="O32" s="69" t="str">
        <f t="shared" si="0"/>
        <v/>
      </c>
      <c r="P32" s="69" t="str">
        <f t="shared" si="1"/>
        <v/>
      </c>
      <c r="Q32" s="70" t="str">
        <f t="shared" si="2"/>
        <v/>
      </c>
      <c r="R32" s="71" t="str">
        <f t="shared" si="10"/>
        <v/>
      </c>
      <c r="S32" s="71" t="str">
        <f t="shared" si="3"/>
        <v/>
      </c>
      <c r="T32" s="71" t="str">
        <f t="shared" si="4"/>
        <v/>
      </c>
      <c r="U32" s="71" t="str">
        <f t="shared" si="5"/>
        <v/>
      </c>
      <c r="V32" s="71" t="str">
        <f t="shared" si="6"/>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7"/>
        <v/>
      </c>
      <c r="B33" s="98" t="s">
        <v>30</v>
      </c>
      <c r="C33" s="86" t="s">
        <v>3</v>
      </c>
      <c r="D33" s="101" t="s">
        <v>30</v>
      </c>
      <c r="E33" s="87" t="str">
        <f t="shared" si="15"/>
        <v/>
      </c>
      <c r="F33" s="88" t="s">
        <v>28</v>
      </c>
      <c r="G33" s="89" t="str">
        <f t="shared" si="16"/>
        <v/>
      </c>
      <c r="H33" s="135" t="s">
        <v>29</v>
      </c>
      <c r="I33" s="137" t="str">
        <f t="shared" si="8"/>
        <v/>
      </c>
      <c r="J33" s="140"/>
      <c r="K33" s="90" t="str">
        <f t="shared" si="9"/>
        <v/>
      </c>
      <c r="L33" s="80" t="s">
        <v>0</v>
      </c>
      <c r="M33" s="166"/>
      <c r="N33" s="167"/>
      <c r="O33" s="69" t="str">
        <f t="shared" si="0"/>
        <v/>
      </c>
      <c r="P33" s="69" t="str">
        <f t="shared" si="1"/>
        <v/>
      </c>
      <c r="Q33" s="70" t="str">
        <f t="shared" si="2"/>
        <v/>
      </c>
      <c r="R33" s="71" t="str">
        <f t="shared" si="10"/>
        <v/>
      </c>
      <c r="S33" s="71" t="str">
        <f t="shared" si="3"/>
        <v/>
      </c>
      <c r="T33" s="71" t="str">
        <f t="shared" si="4"/>
        <v/>
      </c>
      <c r="U33" s="71" t="str">
        <f t="shared" si="5"/>
        <v/>
      </c>
      <c r="V33" s="71" t="str">
        <f t="shared" si="6"/>
        <v/>
      </c>
      <c r="W33" s="71" t="str">
        <f t="shared" si="11"/>
        <v/>
      </c>
      <c r="X33" s="71" t="str">
        <f t="shared" si="13"/>
        <v/>
      </c>
      <c r="Y33" s="85" t="str">
        <f t="shared" si="12"/>
        <v/>
      </c>
      <c r="Z33" s="41" t="str">
        <f t="shared" si="14"/>
        <v/>
      </c>
      <c r="AA33" s="42"/>
    </row>
    <row r="34" spans="1:27" ht="45.9" hidden="1" customHeight="1">
      <c r="A34" s="85" t="str">
        <f t="shared" si="7"/>
        <v/>
      </c>
      <c r="B34" s="98" t="s">
        <v>30</v>
      </c>
      <c r="C34" s="86" t="s">
        <v>3</v>
      </c>
      <c r="D34" s="101" t="s">
        <v>30</v>
      </c>
      <c r="E34" s="87" t="str">
        <f t="shared" si="15"/>
        <v/>
      </c>
      <c r="F34" s="88" t="s">
        <v>28</v>
      </c>
      <c r="G34" s="89" t="str">
        <f t="shared" si="16"/>
        <v/>
      </c>
      <c r="H34" s="135" t="s">
        <v>29</v>
      </c>
      <c r="I34" s="137" t="str">
        <f t="shared" si="8"/>
        <v/>
      </c>
      <c r="J34" s="140"/>
      <c r="K34" s="90" t="str">
        <f t="shared" si="9"/>
        <v/>
      </c>
      <c r="L34" s="80" t="s">
        <v>0</v>
      </c>
      <c r="M34" s="168"/>
      <c r="N34" s="169"/>
      <c r="O34" s="69" t="str">
        <f t="shared" si="0"/>
        <v/>
      </c>
      <c r="P34" s="69" t="str">
        <f t="shared" si="1"/>
        <v/>
      </c>
      <c r="Q34" s="70" t="str">
        <f t="shared" si="2"/>
        <v/>
      </c>
      <c r="R34" s="71" t="str">
        <f t="shared" si="10"/>
        <v/>
      </c>
      <c r="S34" s="71" t="str">
        <f t="shared" si="3"/>
        <v/>
      </c>
      <c r="T34" s="71" t="str">
        <f t="shared" si="4"/>
        <v/>
      </c>
      <c r="U34" s="71" t="str">
        <f t="shared" si="5"/>
        <v/>
      </c>
      <c r="V34" s="71" t="str">
        <f t="shared" si="6"/>
        <v/>
      </c>
      <c r="W34" s="71" t="str">
        <f t="shared" ref="W34:W35" si="17">IF(OR(DBCS($B34)="：",$B34="",DBCS($D34)="：",$D34=""),"",SUM(R34:V34))</f>
        <v/>
      </c>
      <c r="X34" s="71" t="str">
        <f t="shared" si="13"/>
        <v/>
      </c>
      <c r="Y34" s="85" t="str">
        <f t="shared" si="12"/>
        <v/>
      </c>
      <c r="Z34" s="41"/>
      <c r="AA34" s="42"/>
    </row>
    <row r="35" spans="1:27" ht="45.9" hidden="1" customHeight="1" thickBot="1">
      <c r="A35" s="92" t="str">
        <f t="shared" si="7"/>
        <v/>
      </c>
      <c r="B35" s="100" t="s">
        <v>60</v>
      </c>
      <c r="C35" s="93" t="s">
        <v>24</v>
      </c>
      <c r="D35" s="103" t="s">
        <v>60</v>
      </c>
      <c r="E35" s="94" t="str">
        <f t="shared" si="15"/>
        <v/>
      </c>
      <c r="F35" s="95" t="s">
        <v>64</v>
      </c>
      <c r="G35" s="96" t="str">
        <f t="shared" si="16"/>
        <v/>
      </c>
      <c r="H35" s="136" t="s">
        <v>83</v>
      </c>
      <c r="I35" s="138" t="str">
        <f t="shared" si="8"/>
        <v/>
      </c>
      <c r="J35" s="141"/>
      <c r="K35" s="97" t="str">
        <f t="shared" si="9"/>
        <v/>
      </c>
      <c r="L35" s="81" t="s">
        <v>84</v>
      </c>
      <c r="M35" s="168"/>
      <c r="N35" s="169"/>
      <c r="O35" s="69" t="str">
        <f t="shared" si="0"/>
        <v/>
      </c>
      <c r="P35" s="69" t="str">
        <f t="shared" si="1"/>
        <v/>
      </c>
      <c r="Q35" s="70" t="str">
        <f t="shared" si="2"/>
        <v/>
      </c>
      <c r="R35" s="71" t="str">
        <f t="shared" si="10"/>
        <v/>
      </c>
      <c r="S35" s="71" t="str">
        <f t="shared" si="3"/>
        <v/>
      </c>
      <c r="T35" s="71" t="str">
        <f t="shared" si="4"/>
        <v/>
      </c>
      <c r="U35" s="71" t="str">
        <f t="shared" si="5"/>
        <v/>
      </c>
      <c r="V35" s="71" t="str">
        <f t="shared" si="6"/>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38.5</v>
      </c>
      <c r="F36" s="337"/>
      <c r="G36" s="338" t="s">
        <v>1</v>
      </c>
      <c r="H36" s="339"/>
      <c r="I36" s="142"/>
      <c r="J36" s="143"/>
      <c r="K36" s="82">
        <f>SUM(K9:K35)</f>
        <v>179410</v>
      </c>
      <c r="L36" s="83" t="s">
        <v>0</v>
      </c>
      <c r="M36" s="351"/>
      <c r="N36" s="352"/>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84" t="s">
        <v>188</v>
      </c>
      <c r="O40" s="241"/>
      <c r="P40" s="56"/>
      <c r="Q40" s="56"/>
      <c r="R40" s="56"/>
      <c r="S40" s="56"/>
      <c r="T40" s="56"/>
      <c r="U40" s="56"/>
      <c r="V40" s="56"/>
      <c r="W40" s="56"/>
      <c r="X40" s="56"/>
      <c r="Y40" s="56"/>
    </row>
    <row r="41" spans="1:27" ht="31.25" customHeight="1">
      <c r="M41" s="243" t="s">
        <v>150</v>
      </c>
      <c r="N41" s="284" t="s">
        <v>192</v>
      </c>
      <c r="O41" s="244"/>
      <c r="P41" s="56"/>
      <c r="Q41" s="56"/>
      <c r="R41" s="56"/>
      <c r="S41" s="56"/>
      <c r="T41" s="56"/>
      <c r="U41" s="56"/>
      <c r="V41" s="56"/>
      <c r="W41" s="56"/>
      <c r="X41" s="56"/>
      <c r="Y41" s="56"/>
    </row>
    <row r="42" spans="1:27" ht="31.25" customHeight="1">
      <c r="M42" s="243" t="s">
        <v>151</v>
      </c>
      <c r="N42" s="284" t="s">
        <v>190</v>
      </c>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selectLockedCells="1" selectUnlockedCells="1"/>
  <mergeCells count="28">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 ref="A7:A8"/>
    <mergeCell ref="B7:D8"/>
    <mergeCell ref="E7:H8"/>
    <mergeCell ref="M7:N7"/>
    <mergeCell ref="B3:D3"/>
    <mergeCell ref="B4:D4"/>
    <mergeCell ref="B5:D5"/>
    <mergeCell ref="I7:I8"/>
    <mergeCell ref="J7:J8"/>
    <mergeCell ref="K7:L8"/>
    <mergeCell ref="E3:N5"/>
    <mergeCell ref="J6:N6"/>
  </mergeCells>
  <phoneticPr fontId="3"/>
  <dataValidations count="6">
    <dataValidation type="time" allowBlank="1" showInputMessage="1" showErrorMessage="1" sqref="D9:D35 B9:B35" xr:uid="{00000000-0002-0000-0600-000000000000}">
      <formula1>0</formula1>
      <formula2>0.999305555555556</formula2>
    </dataValidation>
    <dataValidation type="list" allowBlank="1" showInputMessage="1" showErrorMessage="1" sqref="N9:N32" xr:uid="{00000000-0002-0000-0600-000001000000}">
      <formula1>$AF$11:$AF$32</formula1>
    </dataValidation>
    <dataValidation type="list" allowBlank="1" showInputMessage="1" showErrorMessage="1" sqref="M33:M35" xr:uid="{00000000-0002-0000-0600-000002000000}">
      <formula1>$AE$11:$AE$20</formula1>
    </dataValidation>
    <dataValidation type="list" allowBlank="1" showInputMessage="1" showErrorMessage="1" sqref="N33:N35" xr:uid="{00000000-0002-0000-0600-000003000000}">
      <formula1>$AF$11:$AF$16</formula1>
    </dataValidation>
    <dataValidation type="list" allowBlank="1" showInputMessage="1" showErrorMessage="1" sqref="M16:M21 M27:M32" xr:uid="{00000000-0002-0000-0600-000004000000}">
      <formula1>$AE$11:$AE$18</formula1>
    </dataValidation>
    <dataValidation type="list" allowBlank="1" showInputMessage="1" showErrorMessage="1" sqref="M9:M15 M22:M26" xr:uid="{EFA1054F-BE09-481C-9EB6-D531E401A41B}">
      <formula1>$AE$11:$AE$15</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sheetPr>
  <dimension ref="A1:AP51"/>
  <sheetViews>
    <sheetView view="pageBreakPreview" zoomScale="60" zoomScaleNormal="70" workbookViewId="0"/>
  </sheetViews>
  <sheetFormatPr defaultColWidth="11.26953125" defaultRowHeight="13"/>
  <cols>
    <col min="1" max="1" width="19.0898437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（2026年5月支払分）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従事者別直接人件費集計表（前期）'!A10</f>
        <v>2026</v>
      </c>
      <c r="AK1" s="56"/>
      <c r="AL1" s="56"/>
      <c r="AM1" s="59" t="s">
        <v>41</v>
      </c>
      <c r="AN1" s="61" t="str">
        <f ca="1">RIGHT(CELL("filename",A1),LEN(CELL("filename",A1))-FIND("]",CELL("filename",A1)))</f>
        <v>2026年4月作業分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従事者別直接人件費集計表（前期）'!D10</f>
        <v>4</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46113</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46142</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31</v>
      </c>
      <c r="AG6" s="56" t="s">
        <v>36</v>
      </c>
      <c r="AH6" s="347" t="s">
        <v>107</v>
      </c>
      <c r="AI6" s="347"/>
      <c r="AJ6" s="144">
        <f>初期条件設定表!$C$15</f>
        <v>0.33333333333333331</v>
      </c>
    </row>
    <row r="7" spans="1:42" s="105" customFormat="1" ht="24" customHeight="1">
      <c r="A7" s="370" t="s">
        <v>7</v>
      </c>
      <c r="B7" s="358" t="s">
        <v>6</v>
      </c>
      <c r="C7" s="358"/>
      <c r="D7" s="358"/>
      <c r="E7" s="360" t="s">
        <v>5</v>
      </c>
      <c r="F7" s="361"/>
      <c r="G7" s="361"/>
      <c r="H7" s="362"/>
      <c r="I7" s="368" t="s">
        <v>106</v>
      </c>
      <c r="J7" s="368" t="s">
        <v>105</v>
      </c>
      <c r="K7" s="360" t="s">
        <v>4</v>
      </c>
      <c r="L7" s="362"/>
      <c r="M7" s="372" t="s">
        <v>115</v>
      </c>
      <c r="N7" s="349"/>
      <c r="O7" s="375"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従事者別直接人件費集計表（前期）'!A10,'入力用 従事者別直接人件費集計表（前期）'!A11)</f>
        <v>2026</v>
      </c>
    </row>
    <row r="8" spans="1:42" s="105" customFormat="1" ht="24" customHeight="1" thickBot="1">
      <c r="A8" s="371"/>
      <c r="B8" s="359"/>
      <c r="C8" s="359"/>
      <c r="D8" s="359"/>
      <c r="E8" s="363"/>
      <c r="F8" s="364"/>
      <c r="G8" s="364"/>
      <c r="H8" s="365"/>
      <c r="I8" s="369"/>
      <c r="J8" s="369"/>
      <c r="K8" s="366"/>
      <c r="L8" s="367"/>
      <c r="M8" s="175" t="s">
        <v>116</v>
      </c>
      <c r="N8" s="155" t="s">
        <v>121</v>
      </c>
      <c r="O8" s="375"/>
      <c r="P8" s="353"/>
      <c r="Q8" s="353"/>
      <c r="R8" s="353"/>
      <c r="S8" s="353"/>
      <c r="T8" s="353"/>
      <c r="U8" s="353"/>
      <c r="V8" s="353"/>
      <c r="W8" s="350"/>
      <c r="X8" s="153"/>
      <c r="Y8" s="153"/>
      <c r="AI8" s="105" t="s">
        <v>109</v>
      </c>
      <c r="AJ8" s="106">
        <f>IF(初期条件設定表!C26="当月",'入力用 従事者別直接人件費集計表（前期）'!D10,'入力用 従事者別直接人件費集計表（前期）'!D11)</f>
        <v>5</v>
      </c>
    </row>
    <row r="9" spans="1:42" ht="45.9" customHeight="1">
      <c r="A9" s="85">
        <f>Y9</f>
        <v>46113</v>
      </c>
      <c r="B9" s="98" t="s">
        <v>30</v>
      </c>
      <c r="C9" s="86" t="s">
        <v>3</v>
      </c>
      <c r="D9" s="101" t="s">
        <v>30</v>
      </c>
      <c r="E9" s="87" t="str">
        <f>IFERROR(HOUR(Q9),"")</f>
        <v/>
      </c>
      <c r="F9" s="88" t="s">
        <v>28</v>
      </c>
      <c r="G9" s="89" t="str">
        <f>IFERROR(MINUTE(Q9),"")</f>
        <v/>
      </c>
      <c r="H9" s="135" t="s">
        <v>29</v>
      </c>
      <c r="I9" s="139" t="str">
        <f>T9</f>
        <v/>
      </c>
      <c r="J9" s="140"/>
      <c r="K9" s="90" t="str">
        <f>IFERROR((E9+G9/60)*$B$5,"")</f>
        <v/>
      </c>
      <c r="L9" s="156" t="s">
        <v>0</v>
      </c>
      <c r="M9" s="157"/>
      <c r="N9" s="158"/>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46113</v>
      </c>
      <c r="AA9" s="42"/>
    </row>
    <row r="10" spans="1:42" ht="45.9" customHeight="1">
      <c r="A10" s="85">
        <f t="shared" ref="A10:A35" si="8">Y10</f>
        <v>46114</v>
      </c>
      <c r="B10" s="98" t="s">
        <v>30</v>
      </c>
      <c r="C10" s="86" t="s">
        <v>3</v>
      </c>
      <c r="D10" s="101" t="s">
        <v>30</v>
      </c>
      <c r="E10" s="87" t="str">
        <f>IFERROR(HOUR(Q10),"")</f>
        <v/>
      </c>
      <c r="F10" s="88" t="s">
        <v>28</v>
      </c>
      <c r="G10" s="89" t="str">
        <f>IFERROR(MINUTE(Q10),"")</f>
        <v/>
      </c>
      <c r="H10" s="135" t="s">
        <v>29</v>
      </c>
      <c r="I10" s="137" t="str">
        <f t="shared" ref="I10:I35" si="9">T10</f>
        <v/>
      </c>
      <c r="J10" s="140"/>
      <c r="K10" s="90" t="str">
        <f t="shared" ref="K10:K35" si="10">IFERROR((E10+G10/60)*$B$5,"")</f>
        <v/>
      </c>
      <c r="L10" s="156" t="s">
        <v>0</v>
      </c>
      <c r="M10" s="159"/>
      <c r="N10" s="160"/>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46114</v>
      </c>
      <c r="AA10" s="42"/>
      <c r="AE10" s="161" t="s">
        <v>117</v>
      </c>
      <c r="AF10" s="161" t="s">
        <v>127</v>
      </c>
    </row>
    <row r="11" spans="1:42" ht="45.9" customHeight="1">
      <c r="A11" s="85">
        <f t="shared" si="8"/>
        <v>46115</v>
      </c>
      <c r="B11" s="98" t="s">
        <v>30</v>
      </c>
      <c r="C11" s="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46115</v>
      </c>
      <c r="AA11" s="42"/>
      <c r="AE11" s="134" t="str">
        <f>初期条件設定表!U5</f>
        <v>　</v>
      </c>
      <c r="AF11" s="162" t="str">
        <f>初期条件設定表!V5</f>
        <v>　</v>
      </c>
    </row>
    <row r="12" spans="1:42" ht="45.9" customHeight="1">
      <c r="A12" s="85">
        <f t="shared" si="8"/>
        <v>46118</v>
      </c>
      <c r="B12" s="98" t="s">
        <v>30</v>
      </c>
      <c r="C12" s="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46118</v>
      </c>
      <c r="AA12" s="42"/>
      <c r="AE12" s="134" t="str">
        <f>初期条件設定表!U6</f>
        <v>設計</v>
      </c>
      <c r="AF12" s="163" t="str">
        <f>初期条件設定表!V6</f>
        <v>要件定義</v>
      </c>
    </row>
    <row r="13" spans="1:42" ht="45.9" customHeight="1">
      <c r="A13" s="85">
        <f t="shared" si="8"/>
        <v>46119</v>
      </c>
      <c r="B13" s="98" t="s">
        <v>30</v>
      </c>
      <c r="C13" s="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46119</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46120</v>
      </c>
      <c r="B14" s="98" t="s">
        <v>30</v>
      </c>
      <c r="C14" s="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46120</v>
      </c>
      <c r="Z14" s="41" t="str">
        <f t="shared" si="14"/>
        <v/>
      </c>
      <c r="AA14" s="42"/>
      <c r="AE14" s="134" t="str">
        <f>初期条件設定表!U8</f>
        <v>目標仕様</v>
      </c>
      <c r="AF14" s="163" t="str">
        <f>初期条件設定表!V8</f>
        <v>システム要件定義</v>
      </c>
    </row>
    <row r="15" spans="1:42" ht="45.9" customHeight="1">
      <c r="A15" s="85">
        <f t="shared" si="8"/>
        <v>46121</v>
      </c>
      <c r="B15" s="98" t="s">
        <v>30</v>
      </c>
      <c r="C15" s="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46121</v>
      </c>
      <c r="Z15" s="41" t="str">
        <f t="shared" si="14"/>
        <v/>
      </c>
      <c r="AA15" s="42"/>
      <c r="AE15" s="134" t="str">
        <f>初期条件設定表!U9</f>
        <v>プログラミング</v>
      </c>
      <c r="AF15" s="163" t="str">
        <f>初期条件設定表!V9</f>
        <v>システムテスト</v>
      </c>
    </row>
    <row r="16" spans="1:42" ht="45.9" customHeight="1">
      <c r="A16" s="85">
        <f t="shared" si="8"/>
        <v>46122</v>
      </c>
      <c r="B16" s="98" t="s">
        <v>30</v>
      </c>
      <c r="C16" s="86" t="s">
        <v>3</v>
      </c>
      <c r="D16" s="101" t="s">
        <v>30</v>
      </c>
      <c r="E16" s="87" t="str">
        <f t="shared" si="15"/>
        <v/>
      </c>
      <c r="F16" s="88" t="s">
        <v>28</v>
      </c>
      <c r="G16" s="89" t="str">
        <f t="shared" si="16"/>
        <v/>
      </c>
      <c r="H16" s="135" t="s">
        <v>29</v>
      </c>
      <c r="I16" s="137" t="str">
        <f t="shared" si="9"/>
        <v/>
      </c>
      <c r="J16" s="140"/>
      <c r="K16" s="90" t="str">
        <f t="shared" si="10"/>
        <v/>
      </c>
      <c r="L16" s="156" t="s">
        <v>0</v>
      </c>
      <c r="M16" s="159"/>
      <c r="N16" s="160"/>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46122</v>
      </c>
      <c r="Z16" s="41" t="str">
        <f t="shared" si="14"/>
        <v/>
      </c>
      <c r="AA16" s="42"/>
      <c r="AE16" s="134" t="str">
        <f>初期条件設定表!U10</f>
        <v>試作</v>
      </c>
      <c r="AF16" s="163" t="str">
        <f>初期条件設定表!V10</f>
        <v>システム方式設計</v>
      </c>
    </row>
    <row r="17" spans="1:32" ht="45.9" customHeight="1">
      <c r="A17" s="85">
        <f t="shared" si="8"/>
        <v>46125</v>
      </c>
      <c r="B17" s="98" t="s">
        <v>30</v>
      </c>
      <c r="C17" s="86" t="s">
        <v>3</v>
      </c>
      <c r="D17" s="101" t="s">
        <v>30</v>
      </c>
      <c r="E17" s="87" t="str">
        <f t="shared" si="15"/>
        <v/>
      </c>
      <c r="F17" s="88" t="s">
        <v>28</v>
      </c>
      <c r="G17" s="89" t="str">
        <f t="shared" si="16"/>
        <v/>
      </c>
      <c r="H17" s="135" t="s">
        <v>29</v>
      </c>
      <c r="I17" s="137" t="str">
        <f t="shared" si="9"/>
        <v/>
      </c>
      <c r="J17" s="140"/>
      <c r="K17" s="90" t="str">
        <f t="shared" si="10"/>
        <v/>
      </c>
      <c r="L17" s="156" t="s">
        <v>0</v>
      </c>
      <c r="M17" s="159"/>
      <c r="N17" s="160"/>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46125</v>
      </c>
      <c r="Z17" s="41" t="str">
        <f t="shared" si="14"/>
        <v/>
      </c>
      <c r="AA17" s="42"/>
      <c r="AE17" s="134" t="str">
        <f>初期条件設定表!U11</f>
        <v>単体テスト</v>
      </c>
      <c r="AF17" s="163" t="str">
        <f>初期条件設定表!V11</f>
        <v>システム結合</v>
      </c>
    </row>
    <row r="18" spans="1:32" ht="45.9" customHeight="1">
      <c r="A18" s="85">
        <f t="shared" si="8"/>
        <v>46126</v>
      </c>
      <c r="B18" s="98" t="s">
        <v>30</v>
      </c>
      <c r="C18" s="86" t="s">
        <v>3</v>
      </c>
      <c r="D18" s="101" t="s">
        <v>30</v>
      </c>
      <c r="E18" s="87" t="str">
        <f t="shared" si="15"/>
        <v/>
      </c>
      <c r="F18" s="88" t="s">
        <v>28</v>
      </c>
      <c r="G18" s="89" t="str">
        <f t="shared" si="16"/>
        <v/>
      </c>
      <c r="H18" s="135" t="s">
        <v>29</v>
      </c>
      <c r="I18" s="137" t="str">
        <f t="shared" si="9"/>
        <v/>
      </c>
      <c r="J18" s="140"/>
      <c r="K18" s="90" t="str">
        <f t="shared" si="10"/>
        <v/>
      </c>
      <c r="L18" s="156" t="s">
        <v>0</v>
      </c>
      <c r="M18" s="159"/>
      <c r="N18" s="160"/>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46126</v>
      </c>
      <c r="Z18" s="41" t="str">
        <f t="shared" si="14"/>
        <v/>
      </c>
      <c r="AA18" s="42"/>
      <c r="AE18" s="134" t="str">
        <f>初期条件設定表!U12</f>
        <v>総合テスト</v>
      </c>
      <c r="AF18" s="163" t="str">
        <f>初期条件設定表!V12</f>
        <v>ソフトウェア設計</v>
      </c>
    </row>
    <row r="19" spans="1:32" ht="45.9" customHeight="1">
      <c r="A19" s="85">
        <f t="shared" si="8"/>
        <v>46127</v>
      </c>
      <c r="B19" s="98" t="s">
        <v>30</v>
      </c>
      <c r="C19" s="86" t="s">
        <v>3</v>
      </c>
      <c r="D19" s="101" t="s">
        <v>30</v>
      </c>
      <c r="E19" s="87" t="str">
        <f t="shared" si="15"/>
        <v/>
      </c>
      <c r="F19" s="88" t="s">
        <v>28</v>
      </c>
      <c r="G19" s="89" t="str">
        <f t="shared" si="16"/>
        <v/>
      </c>
      <c r="H19" s="135" t="s">
        <v>29</v>
      </c>
      <c r="I19" s="137" t="str">
        <f t="shared" si="9"/>
        <v/>
      </c>
      <c r="J19" s="140"/>
      <c r="K19" s="90" t="str">
        <f t="shared" si="10"/>
        <v/>
      </c>
      <c r="L19" s="156" t="s">
        <v>0</v>
      </c>
      <c r="M19" s="159"/>
      <c r="N19" s="160"/>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46127</v>
      </c>
      <c r="Z19" s="41" t="str">
        <f t="shared" si="14"/>
        <v/>
      </c>
      <c r="AA19" s="42"/>
      <c r="AE19" s="134" t="str">
        <f>初期条件設定表!U13</f>
        <v xml:space="preserve"> </v>
      </c>
      <c r="AF19" s="163" t="str">
        <f>初期条件設定表!V13</f>
        <v>ソフトウェアテスト</v>
      </c>
    </row>
    <row r="20" spans="1:32" ht="45.9" customHeight="1">
      <c r="A20" s="85">
        <f t="shared" si="8"/>
        <v>46128</v>
      </c>
      <c r="B20" s="98" t="s">
        <v>30</v>
      </c>
      <c r="C20" s="86" t="s">
        <v>3</v>
      </c>
      <c r="D20" s="101" t="s">
        <v>30</v>
      </c>
      <c r="E20" s="87" t="str">
        <f t="shared" si="15"/>
        <v/>
      </c>
      <c r="F20" s="88" t="s">
        <v>28</v>
      </c>
      <c r="G20" s="89" t="str">
        <f t="shared" si="16"/>
        <v/>
      </c>
      <c r="H20" s="135" t="s">
        <v>29</v>
      </c>
      <c r="I20" s="137" t="str">
        <f t="shared" si="9"/>
        <v/>
      </c>
      <c r="J20" s="140"/>
      <c r="K20" s="90" t="str">
        <f t="shared" si="10"/>
        <v/>
      </c>
      <c r="L20" s="156" t="s">
        <v>0</v>
      </c>
      <c r="M20" s="159"/>
      <c r="N20" s="160"/>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46128</v>
      </c>
      <c r="Z20" s="41" t="str">
        <f t="shared" si="14"/>
        <v/>
      </c>
      <c r="AA20" s="42"/>
      <c r="AE20" s="134" t="str">
        <f>初期条件設定表!U14</f>
        <v xml:space="preserve"> </v>
      </c>
      <c r="AF20" s="163" t="str">
        <f>初期条件設定表!V14</f>
        <v>プログラミング</v>
      </c>
    </row>
    <row r="21" spans="1:32" ht="45.9" customHeight="1">
      <c r="A21" s="85">
        <f t="shared" si="8"/>
        <v>46129</v>
      </c>
      <c r="B21" s="98" t="s">
        <v>30</v>
      </c>
      <c r="C21" s="86" t="s">
        <v>3</v>
      </c>
      <c r="D21" s="101" t="s">
        <v>30</v>
      </c>
      <c r="E21" s="87" t="str">
        <f t="shared" si="15"/>
        <v/>
      </c>
      <c r="F21" s="88" t="s">
        <v>28</v>
      </c>
      <c r="G21" s="89" t="str">
        <f t="shared" si="16"/>
        <v/>
      </c>
      <c r="H21" s="135" t="s">
        <v>29</v>
      </c>
      <c r="I21" s="137" t="str">
        <f t="shared" si="9"/>
        <v/>
      </c>
      <c r="J21" s="140"/>
      <c r="K21" s="90" t="str">
        <f t="shared" si="10"/>
        <v/>
      </c>
      <c r="L21" s="156" t="s">
        <v>0</v>
      </c>
      <c r="M21" s="159"/>
      <c r="N21" s="160"/>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46129</v>
      </c>
      <c r="Z21" s="41" t="str">
        <f t="shared" si="14"/>
        <v/>
      </c>
      <c r="AA21" s="42"/>
      <c r="AE21" s="134" t="str">
        <f>初期条件設定表!U15</f>
        <v xml:space="preserve"> </v>
      </c>
      <c r="AF21" s="163" t="str">
        <f>初期条件設定表!V15</f>
        <v>デバッグ</v>
      </c>
    </row>
    <row r="22" spans="1:32" ht="45.9" customHeight="1">
      <c r="A22" s="85">
        <f t="shared" si="8"/>
        <v>46132</v>
      </c>
      <c r="B22" s="98" t="s">
        <v>30</v>
      </c>
      <c r="C22" s="86" t="s">
        <v>3</v>
      </c>
      <c r="D22" s="101" t="s">
        <v>30</v>
      </c>
      <c r="E22" s="87" t="str">
        <f t="shared" si="15"/>
        <v/>
      </c>
      <c r="F22" s="88" t="s">
        <v>28</v>
      </c>
      <c r="G22" s="89" t="str">
        <f t="shared" si="16"/>
        <v/>
      </c>
      <c r="H22" s="135" t="s">
        <v>29</v>
      </c>
      <c r="I22" s="137" t="str">
        <f t="shared" si="9"/>
        <v/>
      </c>
      <c r="J22" s="140"/>
      <c r="K22" s="90" t="str">
        <f t="shared" si="10"/>
        <v/>
      </c>
      <c r="L22" s="156" t="s">
        <v>0</v>
      </c>
      <c r="M22" s="159"/>
      <c r="N22" s="160"/>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46132</v>
      </c>
      <c r="Z22" s="41" t="str">
        <f t="shared" si="14"/>
        <v/>
      </c>
      <c r="AA22" s="42"/>
      <c r="AE22" s="134" t="str">
        <f>初期条件設定表!U16</f>
        <v xml:space="preserve"> </v>
      </c>
      <c r="AF22" s="163" t="str">
        <f>初期条件設定表!V16</f>
        <v>要求仕様書作成</v>
      </c>
    </row>
    <row r="23" spans="1:32" ht="45.9" customHeight="1">
      <c r="A23" s="85">
        <f t="shared" si="8"/>
        <v>46133</v>
      </c>
      <c r="B23" s="98" t="s">
        <v>30</v>
      </c>
      <c r="C23" s="86" t="s">
        <v>3</v>
      </c>
      <c r="D23" s="101" t="s">
        <v>30</v>
      </c>
      <c r="E23" s="87" t="str">
        <f t="shared" si="15"/>
        <v/>
      </c>
      <c r="F23" s="88" t="s">
        <v>28</v>
      </c>
      <c r="G23" s="89" t="str">
        <f t="shared" si="16"/>
        <v/>
      </c>
      <c r="H23" s="135" t="s">
        <v>29</v>
      </c>
      <c r="I23" s="137" t="str">
        <f t="shared" si="9"/>
        <v/>
      </c>
      <c r="J23" s="140"/>
      <c r="K23" s="90" t="str">
        <f t="shared" si="10"/>
        <v/>
      </c>
      <c r="L23" s="156" t="s">
        <v>0</v>
      </c>
      <c r="M23" s="159"/>
      <c r="N23" s="160"/>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46133</v>
      </c>
      <c r="Z23" s="41" t="str">
        <f t="shared" si="14"/>
        <v/>
      </c>
      <c r="AA23" s="42"/>
      <c r="AE23" s="134" t="str">
        <f>初期条件設定表!U17</f>
        <v xml:space="preserve"> </v>
      </c>
      <c r="AF23" s="163" t="str">
        <f>初期条件設定表!V17</f>
        <v>製図</v>
      </c>
    </row>
    <row r="24" spans="1:32" ht="45.9" customHeight="1">
      <c r="A24" s="85">
        <f t="shared" si="8"/>
        <v>46134</v>
      </c>
      <c r="B24" s="98" t="s">
        <v>30</v>
      </c>
      <c r="C24" s="86" t="s">
        <v>3</v>
      </c>
      <c r="D24" s="101" t="s">
        <v>30</v>
      </c>
      <c r="E24" s="87" t="str">
        <f t="shared" si="15"/>
        <v/>
      </c>
      <c r="F24" s="88" t="s">
        <v>28</v>
      </c>
      <c r="G24" s="89" t="str">
        <f t="shared" si="16"/>
        <v/>
      </c>
      <c r="H24" s="135" t="s">
        <v>29</v>
      </c>
      <c r="I24" s="137" t="str">
        <f t="shared" si="9"/>
        <v/>
      </c>
      <c r="J24" s="140"/>
      <c r="K24" s="90" t="str">
        <f t="shared" si="10"/>
        <v/>
      </c>
      <c r="L24" s="156" t="s">
        <v>0</v>
      </c>
      <c r="M24" s="159"/>
      <c r="N24" s="160"/>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46134</v>
      </c>
      <c r="Z24" s="41" t="str">
        <f t="shared" si="14"/>
        <v/>
      </c>
      <c r="AA24" s="42"/>
      <c r="AE24" s="134" t="str">
        <f>初期条件設定表!U18</f>
        <v xml:space="preserve"> </v>
      </c>
      <c r="AF24" s="163" t="str">
        <f>初期条件設定表!V18</f>
        <v>シミュレーション</v>
      </c>
    </row>
    <row r="25" spans="1:32" ht="45.9" customHeight="1">
      <c r="A25" s="85">
        <f t="shared" si="8"/>
        <v>46135</v>
      </c>
      <c r="B25" s="98" t="s">
        <v>30</v>
      </c>
      <c r="C25" s="86" t="s">
        <v>3</v>
      </c>
      <c r="D25" s="101" t="s">
        <v>30</v>
      </c>
      <c r="E25" s="87" t="str">
        <f t="shared" si="15"/>
        <v/>
      </c>
      <c r="F25" s="88" t="s">
        <v>28</v>
      </c>
      <c r="G25" s="89" t="str">
        <f t="shared" si="16"/>
        <v/>
      </c>
      <c r="H25" s="135" t="s">
        <v>29</v>
      </c>
      <c r="I25" s="137" t="str">
        <f t="shared" si="9"/>
        <v/>
      </c>
      <c r="J25" s="140"/>
      <c r="K25" s="90" t="str">
        <f t="shared" si="10"/>
        <v/>
      </c>
      <c r="L25" s="156" t="s">
        <v>0</v>
      </c>
      <c r="M25" s="159"/>
      <c r="N25" s="160"/>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46135</v>
      </c>
      <c r="Z25" s="41" t="str">
        <f t="shared" si="14"/>
        <v/>
      </c>
      <c r="AA25" s="42"/>
      <c r="AE25" s="134" t="str">
        <f>初期条件設定表!U19</f>
        <v xml:space="preserve"> </v>
      </c>
      <c r="AF25" s="163" t="str">
        <f>初期条件設定表!V19</f>
        <v>製造・加工</v>
      </c>
    </row>
    <row r="26" spans="1:32" ht="45.9" customHeight="1">
      <c r="A26" s="85">
        <f t="shared" si="8"/>
        <v>46136</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46136</v>
      </c>
      <c r="Z26" s="41" t="str">
        <f t="shared" si="14"/>
        <v/>
      </c>
      <c r="AA26" s="42"/>
      <c r="AE26" s="134" t="str">
        <f>初期条件設定表!U20</f>
        <v xml:space="preserve"> </v>
      </c>
      <c r="AF26" s="163" t="str">
        <f>初期条件設定表!V20</f>
        <v>組み立て</v>
      </c>
    </row>
    <row r="27" spans="1:32" ht="45.9" customHeight="1">
      <c r="A27" s="85">
        <f t="shared" si="8"/>
        <v>46139</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46139</v>
      </c>
      <c r="Z27" s="41" t="str">
        <f t="shared" si="14"/>
        <v/>
      </c>
      <c r="AA27" s="42"/>
      <c r="AE27" s="134" t="str">
        <f>初期条件設定表!U21</f>
        <v xml:space="preserve"> </v>
      </c>
      <c r="AF27" s="163" t="str">
        <f>初期条件設定表!V21</f>
        <v>動作・性能試験</v>
      </c>
    </row>
    <row r="28" spans="1:32" ht="45.9" customHeight="1">
      <c r="A28" s="85">
        <f t="shared" si="8"/>
        <v>46140</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46140</v>
      </c>
      <c r="Z28" s="41" t="str">
        <f t="shared" si="14"/>
        <v/>
      </c>
      <c r="AA28" s="42"/>
      <c r="AE28" s="134" t="str">
        <f>初期条件設定表!U22</f>
        <v xml:space="preserve"> </v>
      </c>
      <c r="AF28" s="163" t="str">
        <f>初期条件設定表!V22</f>
        <v>○○</v>
      </c>
    </row>
    <row r="29" spans="1:32" ht="45.9" customHeight="1">
      <c r="A29" s="85">
        <f t="shared" si="8"/>
        <v>46141</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46141</v>
      </c>
      <c r="Z29" s="41" t="str">
        <f t="shared" si="14"/>
        <v/>
      </c>
      <c r="AA29" s="42"/>
      <c r="AE29" s="134" t="str">
        <f>初期条件設定表!U23</f>
        <v xml:space="preserve"> </v>
      </c>
      <c r="AF29" s="163" t="str">
        <f>初期条件設定表!V23</f>
        <v>○○</v>
      </c>
    </row>
    <row r="30" spans="1:32" ht="45.9" customHeight="1">
      <c r="A30" s="85">
        <f t="shared" si="8"/>
        <v>46142</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46142</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0</v>
      </c>
      <c r="F36" s="337"/>
      <c r="G36" s="338" t="s">
        <v>1</v>
      </c>
      <c r="H36" s="339"/>
      <c r="I36" s="142"/>
      <c r="J36" s="143"/>
      <c r="K36" s="82">
        <f>SUM(K9:K35)</f>
        <v>0</v>
      </c>
      <c r="L36" s="177" t="s">
        <v>0</v>
      </c>
      <c r="M36" s="178"/>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61"/>
      <c r="O40" s="241"/>
      <c r="P40" s="56"/>
      <c r="Q40" s="56"/>
      <c r="R40" s="56"/>
      <c r="S40" s="56"/>
      <c r="T40" s="56"/>
      <c r="U40" s="56"/>
      <c r="V40" s="56"/>
      <c r="W40" s="56"/>
      <c r="X40" s="56"/>
      <c r="Y40" s="56"/>
    </row>
    <row r="41" spans="1:27" ht="31.25" customHeight="1">
      <c r="M41" s="243" t="s">
        <v>150</v>
      </c>
      <c r="N41" s="261"/>
      <c r="O41" s="244"/>
      <c r="P41" s="56"/>
      <c r="Q41" s="56"/>
      <c r="R41" s="56"/>
      <c r="S41" s="56"/>
      <c r="T41" s="56"/>
      <c r="U41" s="56"/>
      <c r="V41" s="56"/>
      <c r="W41" s="56"/>
      <c r="X41" s="56"/>
      <c r="Y41" s="56"/>
    </row>
    <row r="42" spans="1:27" ht="31.25" customHeight="1">
      <c r="M42" s="243" t="s">
        <v>151</v>
      </c>
      <c r="N42" s="261"/>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selectLockedCells="1" selectUn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xr:uid="{00000000-0002-0000-0700-000000000000}">
      <formula1>0</formula1>
      <formula2>0.999305555555556</formula2>
    </dataValidation>
    <dataValidation type="list" allowBlank="1" showInputMessage="1" showErrorMessage="1" sqref="N9:N32" xr:uid="{00000000-0002-0000-0700-000001000000}">
      <formula1>$AF$11:$AF$32</formula1>
    </dataValidation>
    <dataValidation type="list" allowBlank="1" showInputMessage="1" showErrorMessage="1" sqref="N33:N35" xr:uid="{00000000-0002-0000-0700-000002000000}">
      <formula1>$AF$11:$AF$16</formula1>
    </dataValidation>
    <dataValidation type="list" allowBlank="1" showInputMessage="1" showErrorMessage="1" sqref="M33:M35" xr:uid="{00000000-0002-0000-0700-000003000000}">
      <formula1>$AE$11:$AE$20</formula1>
    </dataValidation>
    <dataValidation type="list" allowBlank="1" showInputMessage="1" showErrorMessage="1" sqref="M9:M32" xr:uid="{00000000-0002-0000-07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39997558519241921"/>
  </sheetPr>
  <dimension ref="A1:AP51"/>
  <sheetViews>
    <sheetView view="pageBreakPreview" zoomScale="60" zoomScaleNormal="70" workbookViewId="0"/>
  </sheetViews>
  <sheetFormatPr defaultColWidth="11.26953125" defaultRowHeight="13"/>
  <cols>
    <col min="1" max="1" width="18.08984375" style="4" customWidth="1"/>
    <col min="2" max="2" width="9.7265625" style="4" customWidth="1"/>
    <col min="3" max="3" width="3.81640625" style="105"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185</v>
      </c>
      <c r="B1" s="45"/>
      <c r="C1" s="113"/>
      <c r="D1" s="344" t="str">
        <f>"作　業　日　報　兼　直　接　人　件　費　個　別　明　細　表　（"&amp;AJ7&amp;"年"&amp;AJ8&amp;"月支払分）"</f>
        <v>作　業　日　報　兼　直　接　人　件　費　個　別　明　細　表　（2026年6月支払分）</v>
      </c>
      <c r="E1" s="344"/>
      <c r="F1" s="344"/>
      <c r="G1" s="344"/>
      <c r="H1" s="344"/>
      <c r="I1" s="344"/>
      <c r="J1" s="344"/>
      <c r="K1" s="344"/>
      <c r="L1" s="344"/>
      <c r="M1" s="344"/>
      <c r="N1" s="344"/>
      <c r="AD1" s="340" t="s">
        <v>96</v>
      </c>
      <c r="AE1" s="57" t="s">
        <v>42</v>
      </c>
      <c r="AF1" s="58">
        <f>初期条件設定表!$C$10</f>
        <v>0.375</v>
      </c>
      <c r="AG1" s="58">
        <f>初期条件設定表!$C$14</f>
        <v>0.75</v>
      </c>
      <c r="AH1" s="56"/>
      <c r="AI1" s="59" t="s">
        <v>11</v>
      </c>
      <c r="AJ1" s="60">
        <f>'入力用 従事者別直接人件費集計表（前期）'!A11</f>
        <v>2026</v>
      </c>
      <c r="AK1" s="56"/>
      <c r="AL1" s="56"/>
      <c r="AM1" s="59" t="s">
        <v>41</v>
      </c>
      <c r="AN1" s="61" t="str">
        <f ca="1">RIGHT(CELL("filename",A1),LEN(CELL("filename",A1))-FIND("]",CELL("filename",A1)))</f>
        <v>2026年5月作業分</v>
      </c>
      <c r="AO1" s="37"/>
      <c r="AP1" s="38"/>
    </row>
    <row r="2" spans="1:42" ht="24.75" customHeight="1">
      <c r="C2" s="113"/>
      <c r="D2" s="344"/>
      <c r="E2" s="344"/>
      <c r="F2" s="344"/>
      <c r="G2" s="344"/>
      <c r="H2" s="344"/>
      <c r="I2" s="344"/>
      <c r="J2" s="344"/>
      <c r="K2" s="344"/>
      <c r="L2" s="344"/>
      <c r="M2" s="344"/>
      <c r="N2" s="344"/>
      <c r="AD2" s="340"/>
      <c r="AE2" s="57"/>
      <c r="AF2" s="58">
        <f>初期条件設定表!$C$11</f>
        <v>0</v>
      </c>
      <c r="AG2" s="58">
        <f>初期条件設定表!$E$11</f>
        <v>0</v>
      </c>
      <c r="AH2" s="56"/>
      <c r="AI2" s="59" t="s">
        <v>12</v>
      </c>
      <c r="AJ2" s="60">
        <f>'入力用 従事者別直接人件費集計表（前期）'!D11</f>
        <v>5</v>
      </c>
      <c r="AK2" s="56"/>
      <c r="AL2" s="56"/>
      <c r="AM2" s="56"/>
      <c r="AN2" s="62"/>
    </row>
    <row r="3" spans="1:42" ht="27.75" customHeight="1">
      <c r="A3" s="3" t="s">
        <v>9</v>
      </c>
      <c r="B3" s="341" t="str">
        <f>'入力用 従事者別直接人件費集計表（前期）'!D5</f>
        <v>○○△△株式会社</v>
      </c>
      <c r="C3" s="341"/>
      <c r="D3" s="341"/>
      <c r="E3" s="345" t="s">
        <v>159</v>
      </c>
      <c r="F3" s="346"/>
      <c r="G3" s="346"/>
      <c r="H3" s="346"/>
      <c r="I3" s="346"/>
      <c r="J3" s="346"/>
      <c r="K3" s="346"/>
      <c r="L3" s="346"/>
      <c r="M3" s="346"/>
      <c r="N3" s="346"/>
      <c r="AD3" s="340"/>
      <c r="AE3" s="57" t="s">
        <v>34</v>
      </c>
      <c r="AF3" s="58">
        <f>初期条件設定表!$C$12</f>
        <v>0.5</v>
      </c>
      <c r="AG3" s="58">
        <f>初期条件設定表!$E$12</f>
        <v>0.54166666666666663</v>
      </c>
      <c r="AH3" s="56"/>
      <c r="AI3" s="59" t="s">
        <v>59</v>
      </c>
      <c r="AJ3" s="63">
        <f>DATE($AJ$1,AJ2-1,AF6+1)</f>
        <v>46143</v>
      </c>
      <c r="AK3" s="56"/>
      <c r="AL3" s="56"/>
      <c r="AM3" s="56"/>
      <c r="AN3" s="62"/>
    </row>
    <row r="4" spans="1:42" ht="27.75" customHeight="1">
      <c r="A4" s="5" t="s">
        <v>2</v>
      </c>
      <c r="B4" s="342" t="str">
        <f>'入力用 従事者別直接人件費集計表（前期）'!D6</f>
        <v>公社　太郎</v>
      </c>
      <c r="C4" s="342"/>
      <c r="D4" s="342"/>
      <c r="E4" s="346"/>
      <c r="F4" s="346"/>
      <c r="G4" s="346"/>
      <c r="H4" s="346"/>
      <c r="I4" s="346"/>
      <c r="J4" s="346"/>
      <c r="K4" s="346"/>
      <c r="L4" s="346"/>
      <c r="M4" s="346"/>
      <c r="N4" s="346"/>
      <c r="AD4" s="340"/>
      <c r="AE4" s="57"/>
      <c r="AF4" s="58">
        <f>初期条件設定表!$C$13</f>
        <v>0</v>
      </c>
      <c r="AG4" s="58">
        <f>初期条件設定表!$E$13</f>
        <v>0</v>
      </c>
      <c r="AH4" s="56"/>
      <c r="AI4" s="59" t="s">
        <v>79</v>
      </c>
      <c r="AJ4" s="63">
        <f>DATE(AJ1,AJ2,AF5)</f>
        <v>46173</v>
      </c>
      <c r="AK4" s="56"/>
      <c r="AL4" s="56"/>
      <c r="AM4" s="59" t="s">
        <v>77</v>
      </c>
      <c r="AN4" s="64">
        <f>LEN(AJ5)</f>
        <v>2</v>
      </c>
    </row>
    <row r="5" spans="1:42" ht="27.75" customHeight="1">
      <c r="A5" s="7" t="s">
        <v>8</v>
      </c>
      <c r="B5" s="343">
        <f>IF('入力用 従事者別直接人件費集計表（前期）'!Y8="","",'入力用 従事者別直接人件費集計表（前期）'!Y8)</f>
        <v>4660</v>
      </c>
      <c r="C5" s="343"/>
      <c r="D5" s="343"/>
      <c r="E5" s="346"/>
      <c r="F5" s="346"/>
      <c r="G5" s="346"/>
      <c r="H5" s="346"/>
      <c r="I5" s="346"/>
      <c r="J5" s="346"/>
      <c r="K5" s="346"/>
      <c r="L5" s="346"/>
      <c r="M5" s="346"/>
      <c r="N5" s="346"/>
      <c r="AD5" s="34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55" t="s">
        <v>160</v>
      </c>
      <c r="K6" s="355"/>
      <c r="L6" s="355"/>
      <c r="M6" s="355"/>
      <c r="N6" s="355"/>
      <c r="O6" s="67" t="s">
        <v>46</v>
      </c>
      <c r="P6" s="68" t="s">
        <v>48</v>
      </c>
      <c r="Q6" s="67" t="s">
        <v>47</v>
      </c>
      <c r="R6" s="67" t="s">
        <v>49</v>
      </c>
      <c r="S6" s="67" t="s">
        <v>50</v>
      </c>
      <c r="T6" s="67" t="s">
        <v>51</v>
      </c>
      <c r="U6" s="67" t="s">
        <v>61</v>
      </c>
      <c r="V6" s="67" t="s">
        <v>62</v>
      </c>
      <c r="W6" s="67" t="s">
        <v>63</v>
      </c>
      <c r="X6" s="67"/>
      <c r="Y6" s="67"/>
      <c r="Z6" s="40"/>
      <c r="AE6" s="152" t="s">
        <v>97</v>
      </c>
      <c r="AF6" s="65" t="str">
        <f>IF(初期条件設定表!$C$24="末",TEXT(DATE(AJ1,AJ2,1)-1,"d"),初期条件設定表!$C$24)</f>
        <v>30</v>
      </c>
      <c r="AG6" s="56" t="s">
        <v>36</v>
      </c>
      <c r="AH6" s="347" t="s">
        <v>107</v>
      </c>
      <c r="AI6" s="347"/>
      <c r="AJ6" s="144">
        <f>初期条件設定表!$C$15</f>
        <v>0.33333333333333331</v>
      </c>
    </row>
    <row r="7" spans="1:42" s="105" customFormat="1" ht="24" customHeight="1">
      <c r="A7" s="356" t="s">
        <v>7</v>
      </c>
      <c r="B7" s="358" t="s">
        <v>6</v>
      </c>
      <c r="C7" s="358"/>
      <c r="D7" s="358"/>
      <c r="E7" s="360" t="s">
        <v>5</v>
      </c>
      <c r="F7" s="361"/>
      <c r="G7" s="361"/>
      <c r="H7" s="362"/>
      <c r="I7" s="368" t="s">
        <v>106</v>
      </c>
      <c r="J7" s="368" t="s">
        <v>105</v>
      </c>
      <c r="K7" s="360" t="s">
        <v>4</v>
      </c>
      <c r="L7" s="362"/>
      <c r="M7" s="372" t="s">
        <v>115</v>
      </c>
      <c r="N7" s="349"/>
      <c r="O7" s="354" t="s">
        <v>53</v>
      </c>
      <c r="P7" s="353" t="s">
        <v>32</v>
      </c>
      <c r="Q7" s="353" t="s">
        <v>33</v>
      </c>
      <c r="R7" s="353" t="s">
        <v>54</v>
      </c>
      <c r="S7" s="353"/>
      <c r="T7" s="353" t="s">
        <v>52</v>
      </c>
      <c r="U7" s="353"/>
      <c r="V7" s="353" t="s">
        <v>55</v>
      </c>
      <c r="W7" s="350" t="s">
        <v>56</v>
      </c>
      <c r="X7" s="153"/>
      <c r="Y7" s="153"/>
      <c r="AI7" s="105" t="s">
        <v>110</v>
      </c>
      <c r="AJ7" s="106">
        <f>IF(初期条件設定表!C26="当月",'入力用 従事者別直接人件費集計表（前期）'!A11,'入力用 従事者別直接人件費集計表（前期）'!A12)</f>
        <v>2026</v>
      </c>
    </row>
    <row r="8" spans="1:42" s="105" customFormat="1" ht="24" customHeight="1" thickBot="1">
      <c r="A8" s="357"/>
      <c r="B8" s="359"/>
      <c r="C8" s="359"/>
      <c r="D8" s="359"/>
      <c r="E8" s="363"/>
      <c r="F8" s="364"/>
      <c r="G8" s="364"/>
      <c r="H8" s="365"/>
      <c r="I8" s="369"/>
      <c r="J8" s="369"/>
      <c r="K8" s="366"/>
      <c r="L8" s="367"/>
      <c r="M8" s="175" t="s">
        <v>116</v>
      </c>
      <c r="N8" s="155" t="s">
        <v>121</v>
      </c>
      <c r="O8" s="354"/>
      <c r="P8" s="353"/>
      <c r="Q8" s="353"/>
      <c r="R8" s="353"/>
      <c r="S8" s="353"/>
      <c r="T8" s="353"/>
      <c r="U8" s="353"/>
      <c r="V8" s="353"/>
      <c r="W8" s="350"/>
      <c r="X8" s="153"/>
      <c r="Y8" s="153"/>
      <c r="AI8" s="105" t="s">
        <v>109</v>
      </c>
      <c r="AJ8" s="106">
        <f>IF(初期条件設定表!C26="当月",'入力用 従事者別直接人件費集計表（前期）'!D11,'入力用 従事者別直接人件費集計表（前期）'!D12)</f>
        <v>6</v>
      </c>
    </row>
    <row r="9" spans="1:42" ht="45.9" customHeight="1">
      <c r="A9" s="85">
        <f>Y9</f>
        <v>46143</v>
      </c>
      <c r="B9" s="275">
        <v>0.39583333333333331</v>
      </c>
      <c r="C9" s="286" t="s">
        <v>3</v>
      </c>
      <c r="D9" s="277">
        <v>0.5</v>
      </c>
      <c r="E9" s="87">
        <f>IFERROR(HOUR(Q9),"")</f>
        <v>2</v>
      </c>
      <c r="F9" s="88" t="s">
        <v>28</v>
      </c>
      <c r="G9" s="89">
        <f>IFERROR(MINUTE(Q9),"")</f>
        <v>30</v>
      </c>
      <c r="H9" s="135" t="s">
        <v>29</v>
      </c>
      <c r="I9" s="139">
        <f>T9</f>
        <v>0</v>
      </c>
      <c r="J9" s="140"/>
      <c r="K9" s="90">
        <f>IFERROR((E9+G9/60)*$B$5,"")</f>
        <v>11650</v>
      </c>
      <c r="L9" s="156" t="s">
        <v>0</v>
      </c>
      <c r="M9" s="280" t="s">
        <v>152</v>
      </c>
      <c r="N9" s="281" t="s">
        <v>193</v>
      </c>
      <c r="O9" s="69">
        <f t="shared" ref="O9:O35" si="0">IF(OR(DBCS(B9)="：",B9="",DBCS(D9)="：",D9=""),"",$D9-$B9)</f>
        <v>0.10416666666666669</v>
      </c>
      <c r="P9" s="69">
        <f t="shared" ref="P9:P35" si="1">IFERROR(IF(J9="",D9-B9-W9,D9-B9-J9-W9),"")</f>
        <v>0.10416666666666669</v>
      </c>
      <c r="Q9" s="70">
        <f t="shared" ref="Q9:Q35" si="2">IFERROR(MIN(IF(P9&gt;0,FLOOR(P9,"0:30"),""),$AJ$6),"")</f>
        <v>0.10416666666666666</v>
      </c>
      <c r="R9" s="71">
        <f t="shared" ref="R9:R35" si="3">IF(OR(DBCS($B9)="：",$B9="",DBCS($D9)="：",$D9=""),"",MAX(MIN($D9,AF$1)-MAX($B9,TIME(0,0,0)),0))</f>
        <v>0</v>
      </c>
      <c r="S9" s="71">
        <f t="shared" ref="S9:S35" si="4">IF(OR(DBCS($B9)="：",$B9="",DBCS($D9)="：",$D9=""),"",MAX(MIN($D9,AG$2)-MAX($B9,$AF$2),0))</f>
        <v>0</v>
      </c>
      <c r="T9" s="71">
        <f t="shared" ref="T9:T35" si="5">IF(OR(DBCS($B9)="：",$B9="",DBCS($D9)="：",$D9=""),"",MAX(MIN($D9,$AG$3)-MAX($B9,$AF$3),0))</f>
        <v>0</v>
      </c>
      <c r="U9" s="71">
        <f t="shared" ref="U9:U35" si="6">IF(OR(DBCS($B9)="：",$B9="",DBCS($D9)="：",$D9=""),"",MAX(MIN($D9,$AG$4)-MAX($B9,$AF$4),0))</f>
        <v>0</v>
      </c>
      <c r="V9" s="71">
        <f t="shared" ref="V9:V35" si="7">IF(OR(DBCS($B9)="：",$B9="",DBCS($D9)="：",$D9=""),"",MAX(MIN($D9,TIME(23,59,59))-MAX($B9,$AG$1),0))</f>
        <v>0</v>
      </c>
      <c r="W9" s="71">
        <f>IF(OR(DBCS($B9)="：",$B9="",DBCS($D9)="：",$D9=""),"",SUM(R9:V9))</f>
        <v>0</v>
      </c>
      <c r="X9" s="56"/>
      <c r="Y9" s="85">
        <f>IF($AJ$3="","",IF(FIND(TEXT($AJ$3,"aaa"),$AN$5)&gt;$AN$4,$AJ$3,IF(FIND(TEXT($AJ$3+1,"aaa"),$AN$5)&gt;$AN$4,$AJ$3+1,IF(FIND(TEXT($AJ$3+2,"aaa"),$AN$5)&gt;$AN$4,$AJ$3+2,IF(FIND(TEXT($AJ$3+3,"aaa"),$AN$5)&gt;$AN$4,$AJ$3+3,"")))))</f>
        <v>46143</v>
      </c>
      <c r="AA9" s="42"/>
    </row>
    <row r="10" spans="1:42" ht="45.9" customHeight="1">
      <c r="A10" s="85">
        <f t="shared" ref="A10:A35" si="8">Y10</f>
        <v>46146</v>
      </c>
      <c r="B10" s="275">
        <v>0.39583333333333331</v>
      </c>
      <c r="C10" s="286" t="s">
        <v>3</v>
      </c>
      <c r="D10" s="277">
        <v>0.5</v>
      </c>
      <c r="E10" s="87">
        <f>IFERROR(HOUR(Q10),"")</f>
        <v>2</v>
      </c>
      <c r="F10" s="88" t="s">
        <v>28</v>
      </c>
      <c r="G10" s="89">
        <f>IFERROR(MINUTE(Q10),"")</f>
        <v>30</v>
      </c>
      <c r="H10" s="135" t="s">
        <v>29</v>
      </c>
      <c r="I10" s="137">
        <f t="shared" ref="I10:I35" si="9">T10</f>
        <v>0</v>
      </c>
      <c r="J10" s="140"/>
      <c r="K10" s="90">
        <f t="shared" ref="K10:K35" si="10">IFERROR((E10+G10/60)*$B$5,"")</f>
        <v>11650</v>
      </c>
      <c r="L10" s="156" t="s">
        <v>0</v>
      </c>
      <c r="M10" s="282" t="s">
        <v>152</v>
      </c>
      <c r="N10" s="283" t="s">
        <v>193</v>
      </c>
      <c r="O10" s="69">
        <f t="shared" si="0"/>
        <v>0.10416666666666669</v>
      </c>
      <c r="P10" s="69">
        <f t="shared" si="1"/>
        <v>0.10416666666666669</v>
      </c>
      <c r="Q10" s="70">
        <f t="shared" si="2"/>
        <v>0.10416666666666666</v>
      </c>
      <c r="R10" s="71">
        <f t="shared" si="3"/>
        <v>0</v>
      </c>
      <c r="S10" s="71">
        <f t="shared" si="4"/>
        <v>0</v>
      </c>
      <c r="T10" s="71">
        <f t="shared" si="5"/>
        <v>0</v>
      </c>
      <c r="U10" s="71">
        <f t="shared" si="6"/>
        <v>0</v>
      </c>
      <c r="V10" s="71">
        <f t="shared" si="7"/>
        <v>0</v>
      </c>
      <c r="W10" s="71">
        <f t="shared" ref="W10:W33" si="11">IF(OR(DBCS($B10)="：",$B10="",DBCS($D10)="：",$D10=""),"",SUM(R10:V10))</f>
        <v>0</v>
      </c>
      <c r="X10" s="56"/>
      <c r="Y10" s="85">
        <f t="shared" ref="Y10:Y35" si="12">IF($A9="","",IF(AND($A9+1&lt;=$AJ$4,FIND(TEXT($A9+1,"aaa"),$AN$5)&gt;$AN$4),$A9+1,IF(AND($A9+2&lt;=$AJ$4,FIND(TEXT($A9+2,"aaa"),$AN$5)&gt;$AN$4),$A9+2,IF(AND($A9+3&lt;=$AJ$4,FIND(TEXT($A9+3,"aaa"),$AN$5)&gt;$AN$4),$A9+3,IF(AND($A9+4&lt;=$AJ$4,FIND(TEXT($A9+4,"aaa"),$AN$5)&gt;$AN$4),$A9+4,"")))))</f>
        <v>46146</v>
      </c>
      <c r="AA10" s="42"/>
      <c r="AE10" s="161" t="s">
        <v>117</v>
      </c>
      <c r="AF10" s="161" t="s">
        <v>127</v>
      </c>
    </row>
    <row r="11" spans="1:42" ht="45.9" customHeight="1">
      <c r="A11" s="85">
        <f t="shared" si="8"/>
        <v>46147</v>
      </c>
      <c r="B11" s="98" t="s">
        <v>30</v>
      </c>
      <c r="C11" s="286" t="s">
        <v>3</v>
      </c>
      <c r="D11" s="101" t="s">
        <v>30</v>
      </c>
      <c r="E11" s="87" t="str">
        <f>IFERROR(HOUR(Q11),"")</f>
        <v/>
      </c>
      <c r="F11" s="88" t="s">
        <v>28</v>
      </c>
      <c r="G11" s="89" t="str">
        <f>IFERROR(MINUTE(Q11),"")</f>
        <v/>
      </c>
      <c r="H11" s="135" t="s">
        <v>29</v>
      </c>
      <c r="I11" s="137" t="str">
        <f t="shared" si="9"/>
        <v/>
      </c>
      <c r="J11" s="140"/>
      <c r="K11" s="90" t="str">
        <f t="shared" si="10"/>
        <v/>
      </c>
      <c r="L11" s="156" t="s">
        <v>0</v>
      </c>
      <c r="M11" s="159"/>
      <c r="N11" s="160"/>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46147</v>
      </c>
      <c r="AA11" s="42"/>
      <c r="AE11" s="134" t="str">
        <f>初期条件設定表!U5</f>
        <v>　</v>
      </c>
      <c r="AF11" s="162" t="str">
        <f>初期条件設定表!V5</f>
        <v>　</v>
      </c>
    </row>
    <row r="12" spans="1:42" ht="45.9" customHeight="1">
      <c r="A12" s="85">
        <f t="shared" si="8"/>
        <v>46148</v>
      </c>
      <c r="B12" s="98" t="s">
        <v>30</v>
      </c>
      <c r="C12" s="286" t="s">
        <v>3</v>
      </c>
      <c r="D12" s="101" t="s">
        <v>30</v>
      </c>
      <c r="E12" s="87" t="str">
        <f>IFERROR(HOUR(Q12),"")</f>
        <v/>
      </c>
      <c r="F12" s="88" t="s">
        <v>28</v>
      </c>
      <c r="G12" s="89" t="str">
        <f>IFERROR(MINUTE(Q12),"")</f>
        <v/>
      </c>
      <c r="H12" s="135" t="s">
        <v>29</v>
      </c>
      <c r="I12" s="137" t="str">
        <f t="shared" si="9"/>
        <v/>
      </c>
      <c r="J12" s="140"/>
      <c r="K12" s="90" t="str">
        <f t="shared" si="10"/>
        <v/>
      </c>
      <c r="L12" s="156" t="s">
        <v>0</v>
      </c>
      <c r="M12" s="159"/>
      <c r="N12" s="160"/>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46148</v>
      </c>
      <c r="AA12" s="42"/>
      <c r="AE12" s="134" t="str">
        <f>初期条件設定表!U6</f>
        <v>設計</v>
      </c>
      <c r="AF12" s="163" t="str">
        <f>初期条件設定表!V6</f>
        <v>要件定義</v>
      </c>
    </row>
    <row r="13" spans="1:42" ht="45.9" customHeight="1">
      <c r="A13" s="85">
        <f t="shared" si="8"/>
        <v>46149</v>
      </c>
      <c r="B13" s="98" t="s">
        <v>30</v>
      </c>
      <c r="C13" s="286" t="s">
        <v>3</v>
      </c>
      <c r="D13" s="101" t="s">
        <v>30</v>
      </c>
      <c r="E13" s="87" t="str">
        <f>IFERROR(HOUR(Q13),"")</f>
        <v/>
      </c>
      <c r="F13" s="88" t="s">
        <v>28</v>
      </c>
      <c r="G13" s="89" t="str">
        <f>IFERROR(MINUTE(Q13),"")</f>
        <v/>
      </c>
      <c r="H13" s="135" t="s">
        <v>29</v>
      </c>
      <c r="I13" s="137" t="str">
        <f t="shared" si="9"/>
        <v/>
      </c>
      <c r="J13" s="140"/>
      <c r="K13" s="90" t="str">
        <f t="shared" si="10"/>
        <v/>
      </c>
      <c r="L13" s="156" t="s">
        <v>0</v>
      </c>
      <c r="M13" s="159"/>
      <c r="N13" s="160"/>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46149</v>
      </c>
      <c r="Z13" s="41" t="str">
        <f t="shared" ref="Z13:Z33" si="14">IF(OR(DBCS($B13)="：",$B13="",DBCS($D13)="：",$D13=""),"",MAX(MIN($D13,TIME(23,59,59))-MAX($B13,$AG$1),0))</f>
        <v/>
      </c>
      <c r="AA13" s="42"/>
      <c r="AE13" s="134" t="str">
        <f>初期条件設定表!U7</f>
        <v>要件定義</v>
      </c>
      <c r="AF13" s="163" t="str">
        <f>初期条件設定表!V7</f>
        <v>運用テスト</v>
      </c>
    </row>
    <row r="14" spans="1:42" ht="45.9" customHeight="1">
      <c r="A14" s="85">
        <f t="shared" si="8"/>
        <v>46150</v>
      </c>
      <c r="B14" s="98" t="s">
        <v>30</v>
      </c>
      <c r="C14" s="286" t="s">
        <v>3</v>
      </c>
      <c r="D14" s="101" t="s">
        <v>30</v>
      </c>
      <c r="E14" s="87" t="str">
        <f t="shared" ref="E14:E35" si="15">IFERROR(HOUR(Q14),"")</f>
        <v/>
      </c>
      <c r="F14" s="88" t="s">
        <v>28</v>
      </c>
      <c r="G14" s="89" t="str">
        <f t="shared" ref="G14:G35" si="16">IFERROR(MINUTE(Q14),"")</f>
        <v/>
      </c>
      <c r="H14" s="135" t="s">
        <v>29</v>
      </c>
      <c r="I14" s="137" t="str">
        <f t="shared" si="9"/>
        <v/>
      </c>
      <c r="J14" s="140"/>
      <c r="K14" s="90" t="str">
        <f t="shared" si="10"/>
        <v/>
      </c>
      <c r="L14" s="156" t="s">
        <v>0</v>
      </c>
      <c r="M14" s="159"/>
      <c r="N14" s="160"/>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46150</v>
      </c>
      <c r="Z14" s="41" t="str">
        <f t="shared" si="14"/>
        <v/>
      </c>
      <c r="AA14" s="42"/>
      <c r="AE14" s="134" t="str">
        <f>初期条件設定表!U8</f>
        <v>目標仕様</v>
      </c>
      <c r="AF14" s="163" t="str">
        <f>初期条件設定表!V8</f>
        <v>システム要件定義</v>
      </c>
    </row>
    <row r="15" spans="1:42" ht="45.9" customHeight="1">
      <c r="A15" s="85">
        <f t="shared" si="8"/>
        <v>46153</v>
      </c>
      <c r="B15" s="98" t="s">
        <v>30</v>
      </c>
      <c r="C15" s="286" t="s">
        <v>3</v>
      </c>
      <c r="D15" s="101" t="s">
        <v>30</v>
      </c>
      <c r="E15" s="87" t="str">
        <f t="shared" si="15"/>
        <v/>
      </c>
      <c r="F15" s="88" t="s">
        <v>28</v>
      </c>
      <c r="G15" s="89" t="str">
        <f t="shared" si="16"/>
        <v/>
      </c>
      <c r="H15" s="135" t="s">
        <v>29</v>
      </c>
      <c r="I15" s="137" t="str">
        <f t="shared" si="9"/>
        <v/>
      </c>
      <c r="J15" s="140"/>
      <c r="K15" s="90" t="str">
        <f t="shared" si="10"/>
        <v/>
      </c>
      <c r="L15" s="156" t="s">
        <v>0</v>
      </c>
      <c r="M15" s="159"/>
      <c r="N15" s="160"/>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46153</v>
      </c>
      <c r="Z15" s="41" t="str">
        <f t="shared" si="14"/>
        <v/>
      </c>
      <c r="AA15" s="42"/>
      <c r="AE15" s="134" t="str">
        <f>初期条件設定表!U9</f>
        <v>プログラミング</v>
      </c>
      <c r="AF15" s="163" t="str">
        <f>初期条件設定表!V9</f>
        <v>システムテスト</v>
      </c>
    </row>
    <row r="16" spans="1:42" ht="45.9" customHeight="1">
      <c r="A16" s="85">
        <f t="shared" si="8"/>
        <v>46154</v>
      </c>
      <c r="B16" s="275">
        <v>0.54166666666666663</v>
      </c>
      <c r="C16" s="286" t="s">
        <v>3</v>
      </c>
      <c r="D16" s="277">
        <v>0.75</v>
      </c>
      <c r="E16" s="87">
        <f t="shared" si="15"/>
        <v>5</v>
      </c>
      <c r="F16" s="88" t="s">
        <v>28</v>
      </c>
      <c r="G16" s="89">
        <f t="shared" si="16"/>
        <v>0</v>
      </c>
      <c r="H16" s="135" t="s">
        <v>29</v>
      </c>
      <c r="I16" s="137">
        <f t="shared" si="9"/>
        <v>0</v>
      </c>
      <c r="J16" s="140"/>
      <c r="K16" s="90">
        <f t="shared" si="10"/>
        <v>23300</v>
      </c>
      <c r="L16" s="156" t="s">
        <v>0</v>
      </c>
      <c r="M16" s="282" t="s">
        <v>194</v>
      </c>
      <c r="N16" s="283" t="s">
        <v>195</v>
      </c>
      <c r="O16" s="69">
        <f t="shared" si="0"/>
        <v>0.20833333333333337</v>
      </c>
      <c r="P16" s="69">
        <f t="shared" si="1"/>
        <v>0.20833333333333337</v>
      </c>
      <c r="Q16" s="70">
        <f t="shared" si="2"/>
        <v>0.20833333333333331</v>
      </c>
      <c r="R16" s="71">
        <f t="shared" si="3"/>
        <v>0</v>
      </c>
      <c r="S16" s="71">
        <f t="shared" si="4"/>
        <v>0</v>
      </c>
      <c r="T16" s="71">
        <f t="shared" si="5"/>
        <v>0</v>
      </c>
      <c r="U16" s="71">
        <f t="shared" si="6"/>
        <v>0</v>
      </c>
      <c r="V16" s="71">
        <f t="shared" si="7"/>
        <v>0</v>
      </c>
      <c r="W16" s="71">
        <f t="shared" si="11"/>
        <v>0</v>
      </c>
      <c r="X16" s="71">
        <f t="shared" si="13"/>
        <v>0</v>
      </c>
      <c r="Y16" s="85">
        <f t="shared" si="12"/>
        <v>46154</v>
      </c>
      <c r="Z16" s="41">
        <f t="shared" si="14"/>
        <v>0</v>
      </c>
      <c r="AA16" s="42"/>
      <c r="AE16" s="134" t="str">
        <f>初期条件設定表!U10</f>
        <v>試作</v>
      </c>
      <c r="AF16" s="163" t="str">
        <f>初期条件設定表!V10</f>
        <v>システム方式設計</v>
      </c>
    </row>
    <row r="17" spans="1:32" ht="45.9" customHeight="1">
      <c r="A17" s="85">
        <f t="shared" si="8"/>
        <v>46155</v>
      </c>
      <c r="B17" s="275">
        <v>0.54166666666666663</v>
      </c>
      <c r="C17" s="286" t="s">
        <v>3</v>
      </c>
      <c r="D17" s="277">
        <v>0.75</v>
      </c>
      <c r="E17" s="87">
        <f t="shared" si="15"/>
        <v>5</v>
      </c>
      <c r="F17" s="88" t="s">
        <v>28</v>
      </c>
      <c r="G17" s="89">
        <f t="shared" si="16"/>
        <v>0</v>
      </c>
      <c r="H17" s="135" t="s">
        <v>29</v>
      </c>
      <c r="I17" s="137">
        <f t="shared" si="9"/>
        <v>0</v>
      </c>
      <c r="J17" s="140"/>
      <c r="K17" s="90">
        <f t="shared" si="10"/>
        <v>23300</v>
      </c>
      <c r="L17" s="156" t="s">
        <v>0</v>
      </c>
      <c r="M17" s="282" t="s">
        <v>194</v>
      </c>
      <c r="N17" s="283" t="s">
        <v>195</v>
      </c>
      <c r="O17" s="69">
        <f t="shared" si="0"/>
        <v>0.20833333333333337</v>
      </c>
      <c r="P17" s="69">
        <f t="shared" si="1"/>
        <v>0.20833333333333337</v>
      </c>
      <c r="Q17" s="70">
        <f t="shared" si="2"/>
        <v>0.20833333333333331</v>
      </c>
      <c r="R17" s="71">
        <f t="shared" si="3"/>
        <v>0</v>
      </c>
      <c r="S17" s="71">
        <f t="shared" si="4"/>
        <v>0</v>
      </c>
      <c r="T17" s="71">
        <f t="shared" si="5"/>
        <v>0</v>
      </c>
      <c r="U17" s="71">
        <f t="shared" si="6"/>
        <v>0</v>
      </c>
      <c r="V17" s="71">
        <f t="shared" si="7"/>
        <v>0</v>
      </c>
      <c r="W17" s="71">
        <f t="shared" si="11"/>
        <v>0</v>
      </c>
      <c r="X17" s="71">
        <f t="shared" si="13"/>
        <v>0</v>
      </c>
      <c r="Y17" s="85">
        <f t="shared" si="12"/>
        <v>46155</v>
      </c>
      <c r="Z17" s="41">
        <f t="shared" si="14"/>
        <v>0</v>
      </c>
      <c r="AA17" s="42"/>
      <c r="AE17" s="134" t="str">
        <f>初期条件設定表!U11</f>
        <v>単体テスト</v>
      </c>
      <c r="AF17" s="163" t="str">
        <f>初期条件設定表!V11</f>
        <v>システム結合</v>
      </c>
    </row>
    <row r="18" spans="1:32" ht="45.9" customHeight="1">
      <c r="A18" s="85">
        <f t="shared" si="8"/>
        <v>46156</v>
      </c>
      <c r="B18" s="275">
        <v>0.54166666666666663</v>
      </c>
      <c r="C18" s="286" t="s">
        <v>3</v>
      </c>
      <c r="D18" s="277">
        <v>0.75</v>
      </c>
      <c r="E18" s="87">
        <f t="shared" si="15"/>
        <v>5</v>
      </c>
      <c r="F18" s="88" t="s">
        <v>28</v>
      </c>
      <c r="G18" s="89">
        <f t="shared" si="16"/>
        <v>0</v>
      </c>
      <c r="H18" s="135" t="s">
        <v>29</v>
      </c>
      <c r="I18" s="137">
        <f t="shared" si="9"/>
        <v>0</v>
      </c>
      <c r="J18" s="140"/>
      <c r="K18" s="90">
        <f t="shared" si="10"/>
        <v>23300</v>
      </c>
      <c r="L18" s="156" t="s">
        <v>0</v>
      </c>
      <c r="M18" s="282" t="s">
        <v>194</v>
      </c>
      <c r="N18" s="283" t="s">
        <v>195</v>
      </c>
      <c r="O18" s="69">
        <f t="shared" si="0"/>
        <v>0.20833333333333337</v>
      </c>
      <c r="P18" s="69">
        <f t="shared" si="1"/>
        <v>0.20833333333333337</v>
      </c>
      <c r="Q18" s="70">
        <f t="shared" si="2"/>
        <v>0.20833333333333331</v>
      </c>
      <c r="R18" s="71">
        <f t="shared" si="3"/>
        <v>0</v>
      </c>
      <c r="S18" s="71">
        <f t="shared" si="4"/>
        <v>0</v>
      </c>
      <c r="T18" s="71">
        <f t="shared" si="5"/>
        <v>0</v>
      </c>
      <c r="U18" s="71">
        <f t="shared" si="6"/>
        <v>0</v>
      </c>
      <c r="V18" s="71">
        <f t="shared" si="7"/>
        <v>0</v>
      </c>
      <c r="W18" s="71">
        <f t="shared" si="11"/>
        <v>0</v>
      </c>
      <c r="X18" s="71">
        <f t="shared" si="13"/>
        <v>0</v>
      </c>
      <c r="Y18" s="85">
        <f t="shared" si="12"/>
        <v>46156</v>
      </c>
      <c r="Z18" s="41">
        <f t="shared" si="14"/>
        <v>0</v>
      </c>
      <c r="AA18" s="42"/>
      <c r="AE18" s="134" t="str">
        <f>初期条件設定表!U12</f>
        <v>総合テスト</v>
      </c>
      <c r="AF18" s="163" t="str">
        <f>初期条件設定表!V12</f>
        <v>ソフトウェア設計</v>
      </c>
    </row>
    <row r="19" spans="1:32" ht="45.9" customHeight="1">
      <c r="A19" s="85">
        <f t="shared" si="8"/>
        <v>46157</v>
      </c>
      <c r="B19" s="275">
        <v>0.54166666666666663</v>
      </c>
      <c r="C19" s="286" t="s">
        <v>3</v>
      </c>
      <c r="D19" s="277">
        <v>0.75</v>
      </c>
      <c r="E19" s="87">
        <f t="shared" si="15"/>
        <v>5</v>
      </c>
      <c r="F19" s="88" t="s">
        <v>28</v>
      </c>
      <c r="G19" s="89">
        <f t="shared" si="16"/>
        <v>0</v>
      </c>
      <c r="H19" s="135" t="s">
        <v>29</v>
      </c>
      <c r="I19" s="137">
        <f t="shared" si="9"/>
        <v>0</v>
      </c>
      <c r="J19" s="140"/>
      <c r="K19" s="90">
        <f t="shared" si="10"/>
        <v>23300</v>
      </c>
      <c r="L19" s="156" t="s">
        <v>0</v>
      </c>
      <c r="M19" s="282" t="s">
        <v>194</v>
      </c>
      <c r="N19" s="283" t="s">
        <v>195</v>
      </c>
      <c r="O19" s="69">
        <f t="shared" si="0"/>
        <v>0.20833333333333337</v>
      </c>
      <c r="P19" s="69">
        <f t="shared" si="1"/>
        <v>0.20833333333333337</v>
      </c>
      <c r="Q19" s="70">
        <f t="shared" si="2"/>
        <v>0.20833333333333331</v>
      </c>
      <c r="R19" s="71">
        <f t="shared" si="3"/>
        <v>0</v>
      </c>
      <c r="S19" s="71">
        <f t="shared" si="4"/>
        <v>0</v>
      </c>
      <c r="T19" s="71">
        <f t="shared" si="5"/>
        <v>0</v>
      </c>
      <c r="U19" s="71">
        <f t="shared" si="6"/>
        <v>0</v>
      </c>
      <c r="V19" s="71">
        <f t="shared" si="7"/>
        <v>0</v>
      </c>
      <c r="W19" s="71">
        <f t="shared" si="11"/>
        <v>0</v>
      </c>
      <c r="X19" s="71">
        <f t="shared" si="13"/>
        <v>0</v>
      </c>
      <c r="Y19" s="85">
        <f t="shared" si="12"/>
        <v>46157</v>
      </c>
      <c r="Z19" s="41">
        <f t="shared" si="14"/>
        <v>0</v>
      </c>
      <c r="AA19" s="42"/>
      <c r="AE19" s="134" t="str">
        <f>初期条件設定表!U13</f>
        <v xml:space="preserve"> </v>
      </c>
      <c r="AF19" s="163" t="str">
        <f>初期条件設定表!V13</f>
        <v>ソフトウェアテスト</v>
      </c>
    </row>
    <row r="20" spans="1:32" ht="45.9" customHeight="1">
      <c r="A20" s="85">
        <f t="shared" si="8"/>
        <v>46160</v>
      </c>
      <c r="B20" s="275">
        <v>0.54166666666666663</v>
      </c>
      <c r="C20" s="286" t="s">
        <v>3</v>
      </c>
      <c r="D20" s="277">
        <v>0.75</v>
      </c>
      <c r="E20" s="87">
        <f t="shared" si="15"/>
        <v>5</v>
      </c>
      <c r="F20" s="88" t="s">
        <v>28</v>
      </c>
      <c r="G20" s="89">
        <f t="shared" si="16"/>
        <v>0</v>
      </c>
      <c r="H20" s="135" t="s">
        <v>29</v>
      </c>
      <c r="I20" s="137">
        <f t="shared" si="9"/>
        <v>0</v>
      </c>
      <c r="J20" s="140"/>
      <c r="K20" s="90">
        <f t="shared" si="10"/>
        <v>23300</v>
      </c>
      <c r="L20" s="156" t="s">
        <v>0</v>
      </c>
      <c r="M20" s="282" t="s">
        <v>194</v>
      </c>
      <c r="N20" s="283" t="s">
        <v>195</v>
      </c>
      <c r="O20" s="69">
        <f t="shared" si="0"/>
        <v>0.20833333333333337</v>
      </c>
      <c r="P20" s="69">
        <f t="shared" si="1"/>
        <v>0.20833333333333337</v>
      </c>
      <c r="Q20" s="70">
        <f t="shared" si="2"/>
        <v>0.20833333333333331</v>
      </c>
      <c r="R20" s="71">
        <f t="shared" si="3"/>
        <v>0</v>
      </c>
      <c r="S20" s="71">
        <f t="shared" si="4"/>
        <v>0</v>
      </c>
      <c r="T20" s="71">
        <f t="shared" si="5"/>
        <v>0</v>
      </c>
      <c r="U20" s="71">
        <f t="shared" si="6"/>
        <v>0</v>
      </c>
      <c r="V20" s="71">
        <f t="shared" si="7"/>
        <v>0</v>
      </c>
      <c r="W20" s="71">
        <f t="shared" si="11"/>
        <v>0</v>
      </c>
      <c r="X20" s="71">
        <f t="shared" si="13"/>
        <v>0</v>
      </c>
      <c r="Y20" s="85">
        <f t="shared" si="12"/>
        <v>46160</v>
      </c>
      <c r="Z20" s="41">
        <f t="shared" si="14"/>
        <v>0</v>
      </c>
      <c r="AA20" s="42"/>
      <c r="AE20" s="134" t="str">
        <f>初期条件設定表!U14</f>
        <v xml:space="preserve"> </v>
      </c>
      <c r="AF20" s="163" t="str">
        <f>初期条件設定表!V14</f>
        <v>プログラミング</v>
      </c>
    </row>
    <row r="21" spans="1:32" ht="45.9" customHeight="1">
      <c r="A21" s="85">
        <f t="shared" si="8"/>
        <v>46161</v>
      </c>
      <c r="B21" s="275">
        <v>0.54166666666666663</v>
      </c>
      <c r="C21" s="286" t="s">
        <v>3</v>
      </c>
      <c r="D21" s="277">
        <v>0.75</v>
      </c>
      <c r="E21" s="87">
        <f t="shared" si="15"/>
        <v>5</v>
      </c>
      <c r="F21" s="88" t="s">
        <v>28</v>
      </c>
      <c r="G21" s="89">
        <f t="shared" si="16"/>
        <v>0</v>
      </c>
      <c r="H21" s="135" t="s">
        <v>29</v>
      </c>
      <c r="I21" s="137">
        <f t="shared" si="9"/>
        <v>0</v>
      </c>
      <c r="J21" s="140"/>
      <c r="K21" s="90">
        <f t="shared" si="10"/>
        <v>23300</v>
      </c>
      <c r="L21" s="156" t="s">
        <v>0</v>
      </c>
      <c r="M21" s="282" t="s">
        <v>194</v>
      </c>
      <c r="N21" s="283" t="s">
        <v>195</v>
      </c>
      <c r="O21" s="69">
        <f t="shared" si="0"/>
        <v>0.20833333333333337</v>
      </c>
      <c r="P21" s="69">
        <f t="shared" si="1"/>
        <v>0.20833333333333337</v>
      </c>
      <c r="Q21" s="70">
        <f t="shared" si="2"/>
        <v>0.20833333333333331</v>
      </c>
      <c r="R21" s="71">
        <f t="shared" si="3"/>
        <v>0</v>
      </c>
      <c r="S21" s="71">
        <f t="shared" si="4"/>
        <v>0</v>
      </c>
      <c r="T21" s="71">
        <f t="shared" si="5"/>
        <v>0</v>
      </c>
      <c r="U21" s="71">
        <f t="shared" si="6"/>
        <v>0</v>
      </c>
      <c r="V21" s="71">
        <f t="shared" si="7"/>
        <v>0</v>
      </c>
      <c r="W21" s="71">
        <f t="shared" si="11"/>
        <v>0</v>
      </c>
      <c r="X21" s="71">
        <f t="shared" si="13"/>
        <v>0</v>
      </c>
      <c r="Y21" s="85">
        <f t="shared" si="12"/>
        <v>46161</v>
      </c>
      <c r="Z21" s="41">
        <f t="shared" si="14"/>
        <v>0</v>
      </c>
      <c r="AA21" s="42"/>
      <c r="AE21" s="134" t="str">
        <f>初期条件設定表!U15</f>
        <v xml:space="preserve"> </v>
      </c>
      <c r="AF21" s="163" t="str">
        <f>初期条件設定表!V15</f>
        <v>デバッグ</v>
      </c>
    </row>
    <row r="22" spans="1:32" ht="45.9" customHeight="1">
      <c r="A22" s="85">
        <f t="shared" si="8"/>
        <v>46162</v>
      </c>
      <c r="B22" s="275">
        <v>0.54166666666666663</v>
      </c>
      <c r="C22" s="286" t="s">
        <v>3</v>
      </c>
      <c r="D22" s="277">
        <v>0.75</v>
      </c>
      <c r="E22" s="87">
        <f t="shared" si="15"/>
        <v>5</v>
      </c>
      <c r="F22" s="88" t="s">
        <v>28</v>
      </c>
      <c r="G22" s="89">
        <f t="shared" si="16"/>
        <v>0</v>
      </c>
      <c r="H22" s="135" t="s">
        <v>29</v>
      </c>
      <c r="I22" s="137">
        <f t="shared" si="9"/>
        <v>0</v>
      </c>
      <c r="J22" s="140"/>
      <c r="K22" s="90">
        <f t="shared" si="10"/>
        <v>23300</v>
      </c>
      <c r="L22" s="156" t="s">
        <v>0</v>
      </c>
      <c r="M22" s="282" t="s">
        <v>194</v>
      </c>
      <c r="N22" s="283" t="s">
        <v>195</v>
      </c>
      <c r="O22" s="69">
        <f t="shared" si="0"/>
        <v>0.20833333333333337</v>
      </c>
      <c r="P22" s="69">
        <f t="shared" si="1"/>
        <v>0.20833333333333337</v>
      </c>
      <c r="Q22" s="70">
        <f t="shared" si="2"/>
        <v>0.20833333333333331</v>
      </c>
      <c r="R22" s="71">
        <f t="shared" si="3"/>
        <v>0</v>
      </c>
      <c r="S22" s="71">
        <f t="shared" si="4"/>
        <v>0</v>
      </c>
      <c r="T22" s="71">
        <f t="shared" si="5"/>
        <v>0</v>
      </c>
      <c r="U22" s="71">
        <f t="shared" si="6"/>
        <v>0</v>
      </c>
      <c r="V22" s="71">
        <f t="shared" si="7"/>
        <v>0</v>
      </c>
      <c r="W22" s="71">
        <f t="shared" si="11"/>
        <v>0</v>
      </c>
      <c r="X22" s="71">
        <f t="shared" si="13"/>
        <v>0</v>
      </c>
      <c r="Y22" s="85">
        <f t="shared" si="12"/>
        <v>46162</v>
      </c>
      <c r="Z22" s="41">
        <f t="shared" si="14"/>
        <v>0</v>
      </c>
      <c r="AA22" s="42"/>
      <c r="AE22" s="134" t="str">
        <f>初期条件設定表!U16</f>
        <v xml:space="preserve"> </v>
      </c>
      <c r="AF22" s="163" t="str">
        <f>初期条件設定表!V16</f>
        <v>要求仕様書作成</v>
      </c>
    </row>
    <row r="23" spans="1:32" ht="45.9" customHeight="1">
      <c r="A23" s="85">
        <f t="shared" si="8"/>
        <v>46163</v>
      </c>
      <c r="B23" s="275">
        <v>0.54166666666666663</v>
      </c>
      <c r="C23" s="286" t="s">
        <v>3</v>
      </c>
      <c r="D23" s="277">
        <v>0.75</v>
      </c>
      <c r="E23" s="87">
        <f t="shared" si="15"/>
        <v>5</v>
      </c>
      <c r="F23" s="88" t="s">
        <v>28</v>
      </c>
      <c r="G23" s="89">
        <f t="shared" si="16"/>
        <v>0</v>
      </c>
      <c r="H23" s="135" t="s">
        <v>29</v>
      </c>
      <c r="I23" s="137">
        <f t="shared" si="9"/>
        <v>0</v>
      </c>
      <c r="J23" s="140"/>
      <c r="K23" s="90">
        <f t="shared" si="10"/>
        <v>23300</v>
      </c>
      <c r="L23" s="156" t="s">
        <v>0</v>
      </c>
      <c r="M23" s="282" t="s">
        <v>194</v>
      </c>
      <c r="N23" s="283" t="s">
        <v>195</v>
      </c>
      <c r="O23" s="69">
        <f t="shared" si="0"/>
        <v>0.20833333333333337</v>
      </c>
      <c r="P23" s="69">
        <f t="shared" si="1"/>
        <v>0.20833333333333337</v>
      </c>
      <c r="Q23" s="70">
        <f t="shared" si="2"/>
        <v>0.20833333333333331</v>
      </c>
      <c r="R23" s="71">
        <f t="shared" si="3"/>
        <v>0</v>
      </c>
      <c r="S23" s="71">
        <f t="shared" si="4"/>
        <v>0</v>
      </c>
      <c r="T23" s="71">
        <f t="shared" si="5"/>
        <v>0</v>
      </c>
      <c r="U23" s="71">
        <f t="shared" si="6"/>
        <v>0</v>
      </c>
      <c r="V23" s="71">
        <f t="shared" si="7"/>
        <v>0</v>
      </c>
      <c r="W23" s="71">
        <f t="shared" si="11"/>
        <v>0</v>
      </c>
      <c r="X23" s="71">
        <f t="shared" si="13"/>
        <v>0</v>
      </c>
      <c r="Y23" s="85">
        <f t="shared" si="12"/>
        <v>46163</v>
      </c>
      <c r="Z23" s="41">
        <f t="shared" si="14"/>
        <v>0</v>
      </c>
      <c r="AA23" s="42"/>
      <c r="AE23" s="134" t="str">
        <f>初期条件設定表!U17</f>
        <v xml:space="preserve"> </v>
      </c>
      <c r="AF23" s="163" t="str">
        <f>初期条件設定表!V17</f>
        <v>製図</v>
      </c>
    </row>
    <row r="24" spans="1:32" ht="45.9" customHeight="1">
      <c r="A24" s="85">
        <f t="shared" si="8"/>
        <v>46164</v>
      </c>
      <c r="B24" s="275">
        <v>0.54166666666666663</v>
      </c>
      <c r="C24" s="286" t="s">
        <v>3</v>
      </c>
      <c r="D24" s="277">
        <v>0.75</v>
      </c>
      <c r="E24" s="87">
        <f t="shared" si="15"/>
        <v>5</v>
      </c>
      <c r="F24" s="88" t="s">
        <v>28</v>
      </c>
      <c r="G24" s="89">
        <f t="shared" si="16"/>
        <v>0</v>
      </c>
      <c r="H24" s="135" t="s">
        <v>29</v>
      </c>
      <c r="I24" s="137">
        <f t="shared" si="9"/>
        <v>0</v>
      </c>
      <c r="J24" s="140"/>
      <c r="K24" s="90">
        <f t="shared" si="10"/>
        <v>23300</v>
      </c>
      <c r="L24" s="156" t="s">
        <v>0</v>
      </c>
      <c r="M24" s="282" t="s">
        <v>194</v>
      </c>
      <c r="N24" s="283" t="s">
        <v>195</v>
      </c>
      <c r="O24" s="69">
        <f t="shared" si="0"/>
        <v>0.20833333333333337</v>
      </c>
      <c r="P24" s="69">
        <f t="shared" si="1"/>
        <v>0.20833333333333337</v>
      </c>
      <c r="Q24" s="70">
        <f t="shared" si="2"/>
        <v>0.20833333333333331</v>
      </c>
      <c r="R24" s="71">
        <f t="shared" si="3"/>
        <v>0</v>
      </c>
      <c r="S24" s="71">
        <f t="shared" si="4"/>
        <v>0</v>
      </c>
      <c r="T24" s="71">
        <f t="shared" si="5"/>
        <v>0</v>
      </c>
      <c r="U24" s="71">
        <f t="shared" si="6"/>
        <v>0</v>
      </c>
      <c r="V24" s="71">
        <f t="shared" si="7"/>
        <v>0</v>
      </c>
      <c r="W24" s="71">
        <f t="shared" si="11"/>
        <v>0</v>
      </c>
      <c r="X24" s="71">
        <f t="shared" si="13"/>
        <v>0</v>
      </c>
      <c r="Y24" s="85">
        <f t="shared" si="12"/>
        <v>46164</v>
      </c>
      <c r="Z24" s="41">
        <f t="shared" si="14"/>
        <v>0</v>
      </c>
      <c r="AA24" s="42"/>
      <c r="AE24" s="134" t="str">
        <f>初期条件設定表!U18</f>
        <v xml:space="preserve"> </v>
      </c>
      <c r="AF24" s="163" t="str">
        <f>初期条件設定表!V18</f>
        <v>シミュレーション</v>
      </c>
    </row>
    <row r="25" spans="1:32" ht="45.9" customHeight="1">
      <c r="A25" s="85">
        <f t="shared" si="8"/>
        <v>46167</v>
      </c>
      <c r="B25" s="275">
        <v>0.54166666666666663</v>
      </c>
      <c r="C25" s="286" t="s">
        <v>3</v>
      </c>
      <c r="D25" s="277">
        <v>0.75</v>
      </c>
      <c r="E25" s="87">
        <f t="shared" si="15"/>
        <v>5</v>
      </c>
      <c r="F25" s="88" t="s">
        <v>28</v>
      </c>
      <c r="G25" s="89">
        <f t="shared" si="16"/>
        <v>0</v>
      </c>
      <c r="H25" s="135" t="s">
        <v>29</v>
      </c>
      <c r="I25" s="137">
        <f t="shared" si="9"/>
        <v>0</v>
      </c>
      <c r="J25" s="140"/>
      <c r="K25" s="90">
        <f t="shared" si="10"/>
        <v>23300</v>
      </c>
      <c r="L25" s="156" t="s">
        <v>0</v>
      </c>
      <c r="M25" s="282" t="s">
        <v>194</v>
      </c>
      <c r="N25" s="283" t="s">
        <v>195</v>
      </c>
      <c r="O25" s="69">
        <f t="shared" si="0"/>
        <v>0.20833333333333337</v>
      </c>
      <c r="P25" s="69">
        <f t="shared" si="1"/>
        <v>0.20833333333333337</v>
      </c>
      <c r="Q25" s="70">
        <f t="shared" si="2"/>
        <v>0.20833333333333331</v>
      </c>
      <c r="R25" s="71">
        <f t="shared" si="3"/>
        <v>0</v>
      </c>
      <c r="S25" s="71">
        <f t="shared" si="4"/>
        <v>0</v>
      </c>
      <c r="T25" s="71">
        <f t="shared" si="5"/>
        <v>0</v>
      </c>
      <c r="U25" s="71">
        <f t="shared" si="6"/>
        <v>0</v>
      </c>
      <c r="V25" s="71">
        <f t="shared" si="7"/>
        <v>0</v>
      </c>
      <c r="W25" s="71">
        <f t="shared" si="11"/>
        <v>0</v>
      </c>
      <c r="X25" s="71">
        <f t="shared" si="13"/>
        <v>0</v>
      </c>
      <c r="Y25" s="85">
        <f t="shared" si="12"/>
        <v>46167</v>
      </c>
      <c r="Z25" s="41">
        <f t="shared" si="14"/>
        <v>0</v>
      </c>
      <c r="AA25" s="42"/>
      <c r="AE25" s="134" t="str">
        <f>初期条件設定表!U19</f>
        <v xml:space="preserve"> </v>
      </c>
      <c r="AF25" s="163" t="str">
        <f>初期条件設定表!V19</f>
        <v>製造・加工</v>
      </c>
    </row>
    <row r="26" spans="1:32" ht="45.9" customHeight="1">
      <c r="A26" s="85">
        <f t="shared" si="8"/>
        <v>46168</v>
      </c>
      <c r="B26" s="98" t="s">
        <v>30</v>
      </c>
      <c r="C26" s="86" t="s">
        <v>3</v>
      </c>
      <c r="D26" s="101" t="s">
        <v>30</v>
      </c>
      <c r="E26" s="87" t="str">
        <f t="shared" si="15"/>
        <v/>
      </c>
      <c r="F26" s="88" t="s">
        <v>28</v>
      </c>
      <c r="G26" s="89" t="str">
        <f t="shared" si="16"/>
        <v/>
      </c>
      <c r="H26" s="135" t="s">
        <v>29</v>
      </c>
      <c r="I26" s="137" t="str">
        <f t="shared" si="9"/>
        <v/>
      </c>
      <c r="J26" s="140"/>
      <c r="K26" s="90" t="str">
        <f t="shared" si="10"/>
        <v/>
      </c>
      <c r="L26" s="156" t="s">
        <v>0</v>
      </c>
      <c r="M26" s="159"/>
      <c r="N26" s="160"/>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46168</v>
      </c>
      <c r="Z26" s="41" t="str">
        <f t="shared" si="14"/>
        <v/>
      </c>
      <c r="AA26" s="42"/>
      <c r="AE26" s="134" t="str">
        <f>初期条件設定表!U20</f>
        <v xml:space="preserve"> </v>
      </c>
      <c r="AF26" s="163" t="str">
        <f>初期条件設定表!V20</f>
        <v>組み立て</v>
      </c>
    </row>
    <row r="27" spans="1:32" ht="45.9" customHeight="1">
      <c r="A27" s="85">
        <f t="shared" si="8"/>
        <v>46169</v>
      </c>
      <c r="B27" s="98" t="s">
        <v>30</v>
      </c>
      <c r="C27" s="86" t="s">
        <v>3</v>
      </c>
      <c r="D27" s="101" t="s">
        <v>30</v>
      </c>
      <c r="E27" s="87" t="str">
        <f t="shared" si="15"/>
        <v/>
      </c>
      <c r="F27" s="88" t="s">
        <v>28</v>
      </c>
      <c r="G27" s="89" t="str">
        <f t="shared" si="16"/>
        <v/>
      </c>
      <c r="H27" s="135" t="s">
        <v>29</v>
      </c>
      <c r="I27" s="137" t="str">
        <f t="shared" si="9"/>
        <v/>
      </c>
      <c r="J27" s="140"/>
      <c r="K27" s="90" t="str">
        <f t="shared" si="10"/>
        <v/>
      </c>
      <c r="L27" s="156" t="s">
        <v>0</v>
      </c>
      <c r="M27" s="159"/>
      <c r="N27" s="160"/>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46169</v>
      </c>
      <c r="Z27" s="41" t="str">
        <f t="shared" si="14"/>
        <v/>
      </c>
      <c r="AA27" s="42"/>
      <c r="AE27" s="134" t="str">
        <f>初期条件設定表!U21</f>
        <v xml:space="preserve"> </v>
      </c>
      <c r="AF27" s="163" t="str">
        <f>初期条件設定表!V21</f>
        <v>動作・性能試験</v>
      </c>
    </row>
    <row r="28" spans="1:32" ht="45.9" customHeight="1">
      <c r="A28" s="85">
        <f t="shared" si="8"/>
        <v>46170</v>
      </c>
      <c r="B28" s="98" t="s">
        <v>30</v>
      </c>
      <c r="C28" s="86" t="s">
        <v>3</v>
      </c>
      <c r="D28" s="101" t="s">
        <v>30</v>
      </c>
      <c r="E28" s="87" t="str">
        <f t="shared" si="15"/>
        <v/>
      </c>
      <c r="F28" s="88" t="s">
        <v>28</v>
      </c>
      <c r="G28" s="89" t="str">
        <f t="shared" si="16"/>
        <v/>
      </c>
      <c r="H28" s="135" t="s">
        <v>29</v>
      </c>
      <c r="I28" s="137" t="str">
        <f t="shared" si="9"/>
        <v/>
      </c>
      <c r="J28" s="140"/>
      <c r="K28" s="90" t="str">
        <f t="shared" si="10"/>
        <v/>
      </c>
      <c r="L28" s="156" t="s">
        <v>0</v>
      </c>
      <c r="M28" s="159"/>
      <c r="N28" s="160"/>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46170</v>
      </c>
      <c r="Z28" s="41" t="str">
        <f t="shared" si="14"/>
        <v/>
      </c>
      <c r="AA28" s="42"/>
      <c r="AE28" s="134" t="str">
        <f>初期条件設定表!U22</f>
        <v xml:space="preserve"> </v>
      </c>
      <c r="AF28" s="163" t="str">
        <f>初期条件設定表!V22</f>
        <v>○○</v>
      </c>
    </row>
    <row r="29" spans="1:32" ht="45.9" customHeight="1">
      <c r="A29" s="85">
        <f t="shared" si="8"/>
        <v>46171</v>
      </c>
      <c r="B29" s="98" t="s">
        <v>30</v>
      </c>
      <c r="C29" s="86" t="s">
        <v>3</v>
      </c>
      <c r="D29" s="101" t="s">
        <v>30</v>
      </c>
      <c r="E29" s="87" t="str">
        <f t="shared" si="15"/>
        <v/>
      </c>
      <c r="F29" s="88" t="s">
        <v>28</v>
      </c>
      <c r="G29" s="89" t="str">
        <f t="shared" si="16"/>
        <v/>
      </c>
      <c r="H29" s="135" t="s">
        <v>29</v>
      </c>
      <c r="I29" s="137" t="str">
        <f t="shared" si="9"/>
        <v/>
      </c>
      <c r="J29" s="140"/>
      <c r="K29" s="90" t="str">
        <f t="shared" si="10"/>
        <v/>
      </c>
      <c r="L29" s="156" t="s">
        <v>0</v>
      </c>
      <c r="M29" s="159"/>
      <c r="N29" s="160"/>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46171</v>
      </c>
      <c r="Z29" s="41" t="str">
        <f t="shared" si="14"/>
        <v/>
      </c>
      <c r="AA29" s="42"/>
      <c r="AE29" s="134" t="str">
        <f>初期条件設定表!U23</f>
        <v xml:space="preserve"> </v>
      </c>
      <c r="AF29" s="163" t="str">
        <f>初期条件設定表!V23</f>
        <v>○○</v>
      </c>
    </row>
    <row r="30" spans="1:32" ht="45.9" customHeight="1">
      <c r="A30" s="85" t="str">
        <f t="shared" si="8"/>
        <v/>
      </c>
      <c r="B30" s="98" t="s">
        <v>30</v>
      </c>
      <c r="C30" s="86" t="s">
        <v>3</v>
      </c>
      <c r="D30" s="101" t="s">
        <v>30</v>
      </c>
      <c r="E30" s="87" t="str">
        <f t="shared" si="15"/>
        <v/>
      </c>
      <c r="F30" s="88" t="s">
        <v>28</v>
      </c>
      <c r="G30" s="89" t="str">
        <f t="shared" si="16"/>
        <v/>
      </c>
      <c r="H30" s="135" t="s">
        <v>29</v>
      </c>
      <c r="I30" s="137" t="str">
        <f t="shared" si="9"/>
        <v/>
      </c>
      <c r="J30" s="140"/>
      <c r="K30" s="90" t="str">
        <f t="shared" si="10"/>
        <v/>
      </c>
      <c r="L30" s="156" t="s">
        <v>0</v>
      </c>
      <c r="M30" s="159"/>
      <c r="N30" s="160"/>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4" t="str">
        <f>初期条件設定表!U24</f>
        <v xml:space="preserve"> </v>
      </c>
      <c r="AF30" s="163" t="str">
        <f>初期条件設定表!V24</f>
        <v>○○</v>
      </c>
    </row>
    <row r="31" spans="1:32" ht="45.9" customHeight="1">
      <c r="A31" s="85" t="str">
        <f t="shared" si="8"/>
        <v/>
      </c>
      <c r="B31" s="99" t="s">
        <v>30</v>
      </c>
      <c r="C31" s="91" t="s">
        <v>3</v>
      </c>
      <c r="D31" s="102" t="s">
        <v>30</v>
      </c>
      <c r="E31" s="87" t="str">
        <f t="shared" si="15"/>
        <v/>
      </c>
      <c r="F31" s="88" t="s">
        <v>28</v>
      </c>
      <c r="G31" s="89" t="str">
        <f t="shared" si="16"/>
        <v/>
      </c>
      <c r="H31" s="135" t="s">
        <v>29</v>
      </c>
      <c r="I31" s="137" t="str">
        <f t="shared" si="9"/>
        <v/>
      </c>
      <c r="J31" s="140"/>
      <c r="K31" s="90" t="str">
        <f t="shared" si="10"/>
        <v/>
      </c>
      <c r="L31" s="156" t="s">
        <v>0</v>
      </c>
      <c r="M31" s="159"/>
      <c r="N31" s="160"/>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4" t="str">
        <f>初期条件設定表!U25</f>
        <v xml:space="preserve"> </v>
      </c>
      <c r="AF31" s="163"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5" t="s">
        <v>29</v>
      </c>
      <c r="I32" s="137" t="str">
        <f t="shared" si="9"/>
        <v/>
      </c>
      <c r="J32" s="140"/>
      <c r="K32" s="90" t="str">
        <f t="shared" si="10"/>
        <v/>
      </c>
      <c r="L32" s="156" t="s">
        <v>0</v>
      </c>
      <c r="M32" s="159"/>
      <c r="N32" s="165"/>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4" t="str">
        <f>初期条件設定表!U26</f>
        <v xml:space="preserve"> </v>
      </c>
      <c r="AF32" s="163"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5" t="s">
        <v>29</v>
      </c>
      <c r="I33" s="137" t="str">
        <f t="shared" si="9"/>
        <v/>
      </c>
      <c r="J33" s="140"/>
      <c r="K33" s="90" t="str">
        <f t="shared" si="10"/>
        <v/>
      </c>
      <c r="L33" s="80" t="s">
        <v>0</v>
      </c>
      <c r="M33" s="166"/>
      <c r="N33" s="167"/>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5" t="s">
        <v>29</v>
      </c>
      <c r="I34" s="137" t="str">
        <f t="shared" si="9"/>
        <v/>
      </c>
      <c r="J34" s="140"/>
      <c r="K34" s="90" t="str">
        <f t="shared" si="10"/>
        <v/>
      </c>
      <c r="L34" s="80" t="s">
        <v>0</v>
      </c>
      <c r="M34" s="168"/>
      <c r="N34" s="169"/>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6" t="s">
        <v>83</v>
      </c>
      <c r="I35" s="138" t="str">
        <f t="shared" si="9"/>
        <v/>
      </c>
      <c r="J35" s="141"/>
      <c r="K35" s="97" t="str">
        <f t="shared" si="10"/>
        <v/>
      </c>
      <c r="L35" s="81" t="s">
        <v>84</v>
      </c>
      <c r="M35" s="168"/>
      <c r="N35" s="169"/>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3"/>
      <c r="C36" s="334"/>
      <c r="D36" s="335"/>
      <c r="E36" s="336">
        <f>SUM(E9:E35)+SUM(G9:G35)/60</f>
        <v>55</v>
      </c>
      <c r="F36" s="337"/>
      <c r="G36" s="338" t="s">
        <v>1</v>
      </c>
      <c r="H36" s="339"/>
      <c r="I36" s="142"/>
      <c r="J36" s="143"/>
      <c r="K36" s="82">
        <f>SUM(K9:K35)</f>
        <v>256300</v>
      </c>
      <c r="L36" s="177" t="s">
        <v>0</v>
      </c>
      <c r="M36" s="178"/>
      <c r="N36" s="260"/>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0"/>
      <c r="M37" s="11"/>
      <c r="N37" s="11"/>
      <c r="O37" s="56"/>
      <c r="P37" s="56"/>
      <c r="Q37" s="56"/>
      <c r="R37" s="56"/>
      <c r="S37" s="56"/>
      <c r="T37" s="56"/>
      <c r="U37" s="56"/>
      <c r="V37" s="56"/>
      <c r="W37" s="56"/>
      <c r="X37" s="56"/>
      <c r="Y37" s="56"/>
    </row>
    <row r="38" spans="1:27" ht="25.9" customHeight="1">
      <c r="B38" s="242"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3" t="s">
        <v>149</v>
      </c>
      <c r="N40" s="284" t="s">
        <v>196</v>
      </c>
      <c r="O40" s="241"/>
      <c r="P40" s="56"/>
      <c r="Q40" s="56"/>
      <c r="R40" s="56"/>
      <c r="S40" s="56"/>
      <c r="T40" s="56"/>
      <c r="U40" s="56"/>
      <c r="V40" s="56"/>
      <c r="W40" s="56"/>
      <c r="X40" s="56"/>
      <c r="Y40" s="56"/>
    </row>
    <row r="41" spans="1:27" ht="31.25" customHeight="1">
      <c r="M41" s="243" t="s">
        <v>150</v>
      </c>
      <c r="N41" s="284" t="s">
        <v>192</v>
      </c>
      <c r="O41" s="244"/>
      <c r="P41" s="56"/>
      <c r="Q41" s="56"/>
      <c r="R41" s="56"/>
      <c r="S41" s="56"/>
      <c r="T41" s="56"/>
      <c r="U41" s="56"/>
      <c r="V41" s="56"/>
      <c r="W41" s="56"/>
      <c r="X41" s="56"/>
      <c r="Y41" s="56"/>
    </row>
    <row r="42" spans="1:27" ht="31.25" customHeight="1">
      <c r="M42" s="243" t="s">
        <v>151</v>
      </c>
      <c r="N42" s="284" t="s">
        <v>190</v>
      </c>
      <c r="O42" s="244"/>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selectLockedCells="1" selectUn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6">
    <dataValidation type="time" allowBlank="1" showInputMessage="1" showErrorMessage="1" sqref="D9:D35 B9:B35" xr:uid="{00000000-0002-0000-0800-000000000000}">
      <formula1>0</formula1>
      <formula2>0.999305555555556</formula2>
    </dataValidation>
    <dataValidation type="list" allowBlank="1" showInputMessage="1" showErrorMessage="1" sqref="N9:N32" xr:uid="{00000000-0002-0000-0800-000001000000}">
      <formula1>$AF$11:$AF$32</formula1>
    </dataValidation>
    <dataValidation type="list" allowBlank="1" showInputMessage="1" showErrorMessage="1" sqref="N33:N35" xr:uid="{00000000-0002-0000-0800-000002000000}">
      <formula1>$AF$11:$AF$16</formula1>
    </dataValidation>
    <dataValidation type="list" allowBlank="1" showInputMessage="1" showErrorMessage="1" sqref="M33:M35" xr:uid="{00000000-0002-0000-0800-000003000000}">
      <formula1>$AE$11:$AE$20</formula1>
    </dataValidation>
    <dataValidation type="list" allowBlank="1" showInputMessage="1" showErrorMessage="1" sqref="M11:M15 M26:M32" xr:uid="{00000000-0002-0000-0800-000004000000}">
      <formula1>$AE$11:$AE$18</formula1>
    </dataValidation>
    <dataValidation type="list" allowBlank="1" showInputMessage="1" showErrorMessage="1" sqref="M9:M10 M16:M25" xr:uid="{221822BE-CB50-410F-8A6B-C08B55B175B4}">
      <formula1>$AE$11:$AE$15</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本様式使用方法</vt:lpstr>
      <vt:lpstr>体系図</vt:lpstr>
      <vt:lpstr>初期条件設定表</vt:lpstr>
      <vt:lpstr>入力用 従事者別直接人件費集計表（前期）</vt:lpstr>
      <vt:lpstr>提出用 従事者別直接人件費集計表（前期）</vt:lpstr>
      <vt:lpstr>2026年2月作業分</vt:lpstr>
      <vt:lpstr>2026年3月作業分</vt:lpstr>
      <vt:lpstr>2026年4月作業分</vt:lpstr>
      <vt:lpstr>2026年5月作業分</vt:lpstr>
      <vt:lpstr>2026年6月作業分</vt:lpstr>
      <vt:lpstr>2026年7月作業分</vt:lpstr>
      <vt:lpstr>2026年8月作業分</vt:lpstr>
      <vt:lpstr>2026年9月作業分</vt:lpstr>
      <vt:lpstr>2026年10月作業分</vt:lpstr>
      <vt:lpstr>2026年11月作業分</vt:lpstr>
      <vt:lpstr>'2026年10月作業分'!Print_Area</vt:lpstr>
      <vt:lpstr>'2026年11月作業分'!Print_Area</vt:lpstr>
      <vt:lpstr>'2026年2月作業分'!Print_Area</vt:lpstr>
      <vt:lpstr>'2026年3月作業分'!Print_Area</vt:lpstr>
      <vt:lpstr>'2026年4月作業分'!Print_Area</vt:lpstr>
      <vt:lpstr>'2026年5月作業分'!Print_Area</vt:lpstr>
      <vt:lpstr>'2026年6月作業分'!Print_Area</vt:lpstr>
      <vt:lpstr>'2026年7月作業分'!Print_Area</vt:lpstr>
      <vt:lpstr>'2026年8月作業分'!Print_Area</vt:lpstr>
      <vt:lpstr>'2026年9月作業分'!Print_Area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2026-01-26T10:34:50Z</dcterms:modified>
</cp:coreProperties>
</file>